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Andres/PROYECTOS EN INGENIERÍA QUÍMICA/BLOQUE 3/"/>
    </mc:Choice>
  </mc:AlternateContent>
  <bookViews>
    <workbookView xWindow="0" yWindow="460" windowWidth="25600" windowHeight="15460" activeTab="6"/>
  </bookViews>
  <sheets>
    <sheet name="condiciones fondo 760mmHg" sheetId="7" r:id="rId1"/>
    <sheet name="T FONDOS" sheetId="1" r:id="rId2"/>
    <sheet name="Hoja1 (2)" sheetId="3" r:id="rId3"/>
    <sheet name="nueva iteracion" sheetId="2" r:id="rId4"/>
    <sheet name="nueva iteracion espaciado" sheetId="5" r:id="rId5"/>
    <sheet name="iteracion espaciado 0,6" sheetId="6" r:id="rId6"/>
    <sheet name="Curva Equilibrio_Bloque2_Mc_Cab" sheetId="4" r:id="rId7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C3" i="4"/>
  <c r="D3" i="4"/>
  <c r="E3" i="4"/>
  <c r="F3" i="4"/>
  <c r="B16" i="4"/>
  <c r="C16" i="4"/>
  <c r="D16" i="4"/>
  <c r="E16" i="4"/>
  <c r="F16" i="4"/>
  <c r="B13" i="4"/>
  <c r="C13" i="4"/>
  <c r="D13" i="4"/>
  <c r="E13" i="4"/>
  <c r="F13" i="4"/>
  <c r="B4" i="4"/>
  <c r="D4" i="4"/>
  <c r="C4" i="4"/>
  <c r="E4" i="4"/>
  <c r="B15" i="4"/>
  <c r="D15" i="4"/>
  <c r="C15" i="4"/>
  <c r="E15" i="4"/>
  <c r="F15" i="4"/>
  <c r="B14" i="4"/>
  <c r="D14" i="4"/>
  <c r="C14" i="4"/>
  <c r="E14" i="4"/>
  <c r="F14" i="4"/>
  <c r="B12" i="4"/>
  <c r="D12" i="4"/>
  <c r="C12" i="4"/>
  <c r="E12" i="4"/>
  <c r="F12" i="4"/>
  <c r="B11" i="4"/>
  <c r="D11" i="4"/>
  <c r="C11" i="4"/>
  <c r="E11" i="4"/>
  <c r="F11" i="4"/>
  <c r="B10" i="4"/>
  <c r="D10" i="4"/>
  <c r="C10" i="4"/>
  <c r="E10" i="4"/>
  <c r="F10" i="4"/>
  <c r="B9" i="4"/>
  <c r="D9" i="4"/>
  <c r="C9" i="4"/>
  <c r="E9" i="4"/>
  <c r="F9" i="4"/>
  <c r="B8" i="4"/>
  <c r="D8" i="4"/>
  <c r="C8" i="4"/>
  <c r="E8" i="4"/>
  <c r="F8" i="4"/>
  <c r="B7" i="4"/>
  <c r="D7" i="4"/>
  <c r="C7" i="4"/>
  <c r="E7" i="4"/>
  <c r="F7" i="4"/>
  <c r="B6" i="4"/>
  <c r="D6" i="4"/>
  <c r="C6" i="4"/>
  <c r="E6" i="4"/>
  <c r="F6" i="4"/>
  <c r="B5" i="4"/>
  <c r="D5" i="4"/>
  <c r="C5" i="4"/>
  <c r="E5" i="4"/>
  <c r="F5" i="4"/>
  <c r="F4" i="4"/>
  <c r="C69" i="6"/>
  <c r="C68" i="6"/>
  <c r="C61" i="6"/>
  <c r="C67" i="6"/>
  <c r="C66" i="6"/>
  <c r="C65" i="6"/>
  <c r="C64" i="6"/>
  <c r="C63" i="6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2" i="7"/>
  <c r="J2" i="7"/>
  <c r="B16" i="7"/>
  <c r="C16" i="7"/>
  <c r="B15" i="7"/>
  <c r="D15" i="7"/>
  <c r="B14" i="7"/>
  <c r="D14" i="7"/>
  <c r="B13" i="7"/>
  <c r="D13" i="7"/>
  <c r="B12" i="7"/>
  <c r="C12" i="7"/>
  <c r="C11" i="7"/>
  <c r="B11" i="7"/>
  <c r="D11" i="7"/>
  <c r="B10" i="7"/>
  <c r="D10" i="7"/>
  <c r="B9" i="7"/>
  <c r="D9" i="7"/>
  <c r="B8" i="7"/>
  <c r="D8" i="7"/>
  <c r="B7" i="7"/>
  <c r="D7" i="7"/>
  <c r="B6" i="7"/>
  <c r="C6" i="7"/>
  <c r="B5" i="7"/>
  <c r="D5" i="7"/>
  <c r="B4" i="7"/>
  <c r="D4" i="7"/>
  <c r="B3" i="7"/>
  <c r="D3" i="7"/>
  <c r="B2" i="7"/>
  <c r="D2" i="7"/>
  <c r="C15" i="7"/>
  <c r="D16" i="7"/>
  <c r="D12" i="7"/>
  <c r="E12" i="7"/>
  <c r="F12" i="7"/>
  <c r="C8" i="7"/>
  <c r="C7" i="7"/>
  <c r="E7" i="7"/>
  <c r="F7" i="7"/>
  <c r="D6" i="7"/>
  <c r="E6" i="7"/>
  <c r="F6" i="7"/>
  <c r="C4" i="7"/>
  <c r="E4" i="7"/>
  <c r="F4" i="7"/>
  <c r="C3" i="7"/>
  <c r="C2" i="7"/>
  <c r="E2" i="7"/>
  <c r="F2" i="7"/>
  <c r="E3" i="7"/>
  <c r="F3" i="7"/>
  <c r="C5" i="7"/>
  <c r="E5" i="7"/>
  <c r="F5" i="7"/>
  <c r="C9" i="7"/>
  <c r="E9" i="7"/>
  <c r="F9" i="7"/>
  <c r="E11" i="7"/>
  <c r="F11" i="7"/>
  <c r="C13" i="7"/>
  <c r="E13" i="7"/>
  <c r="F13" i="7"/>
  <c r="E15" i="7"/>
  <c r="F15" i="7"/>
  <c r="E8" i="7"/>
  <c r="F8" i="7"/>
  <c r="C10" i="7"/>
  <c r="E10" i="7"/>
  <c r="F10" i="7"/>
  <c r="C14" i="7"/>
  <c r="E14" i="7"/>
  <c r="F14" i="7"/>
  <c r="E16" i="7"/>
  <c r="F16" i="7"/>
  <c r="C29" i="6"/>
  <c r="B29" i="6"/>
  <c r="U2" i="6"/>
  <c r="C24" i="6"/>
  <c r="C26" i="6"/>
  <c r="AD2" i="6"/>
  <c r="N2" i="6"/>
  <c r="L14" i="6"/>
  <c r="G14" i="6"/>
  <c r="D17" i="1"/>
  <c r="D14" i="6"/>
  <c r="H16" i="6"/>
  <c r="D2" i="1"/>
  <c r="J2" i="1"/>
  <c r="C33" i="6"/>
  <c r="C62" i="6"/>
  <c r="C50" i="6"/>
  <c r="B31" i="6"/>
  <c r="B29" i="5"/>
  <c r="B30" i="5"/>
  <c r="B26" i="6"/>
  <c r="B73" i="6"/>
  <c r="C56" i="6"/>
  <c r="C51" i="6"/>
  <c r="B49" i="6"/>
  <c r="B39" i="6"/>
  <c r="B33" i="6"/>
  <c r="B32" i="6"/>
  <c r="B30" i="6"/>
  <c r="B27" i="6"/>
  <c r="C14" i="6"/>
  <c r="M14" i="6"/>
  <c r="B14" i="6"/>
  <c r="B13" i="6"/>
  <c r="D13" i="6"/>
  <c r="D12" i="6"/>
  <c r="C12" i="6"/>
  <c r="G12" i="6"/>
  <c r="B12" i="6"/>
  <c r="B11" i="6"/>
  <c r="D11" i="6"/>
  <c r="D10" i="6"/>
  <c r="C10" i="6"/>
  <c r="G10" i="6"/>
  <c r="B10" i="6"/>
  <c r="B9" i="6"/>
  <c r="D9" i="6"/>
  <c r="D8" i="6"/>
  <c r="C8" i="6"/>
  <c r="G8" i="6"/>
  <c r="B8" i="6"/>
  <c r="B7" i="6"/>
  <c r="D7" i="6"/>
  <c r="D6" i="6"/>
  <c r="C6" i="6"/>
  <c r="G6" i="6"/>
  <c r="B6" i="6"/>
  <c r="B5" i="6"/>
  <c r="D5" i="6"/>
  <c r="D4" i="6"/>
  <c r="C4" i="6"/>
  <c r="G4" i="6"/>
  <c r="B4" i="6"/>
  <c r="B3" i="6"/>
  <c r="D3" i="6"/>
  <c r="R2" i="6"/>
  <c r="J2" i="6"/>
  <c r="B2" i="6"/>
  <c r="D2" i="6"/>
  <c r="C59" i="5"/>
  <c r="C61" i="5"/>
  <c r="C58" i="5"/>
  <c r="C56" i="5"/>
  <c r="B49" i="5"/>
  <c r="B45" i="6"/>
  <c r="C52" i="6"/>
  <c r="G22" i="6"/>
  <c r="C60" i="6"/>
  <c r="C49" i="6"/>
  <c r="E9" i="6"/>
  <c r="F9" i="6"/>
  <c r="B34" i="6"/>
  <c r="B35" i="6"/>
  <c r="B36" i="6"/>
  <c r="B37" i="6"/>
  <c r="C53" i="6"/>
  <c r="C54" i="6"/>
  <c r="C2" i="6"/>
  <c r="G2" i="6"/>
  <c r="C3" i="6"/>
  <c r="G3" i="6"/>
  <c r="E4" i="6"/>
  <c r="F4" i="6"/>
  <c r="C5" i="6"/>
  <c r="G5" i="6"/>
  <c r="E6" i="6"/>
  <c r="F6" i="6"/>
  <c r="C7" i="6"/>
  <c r="G7" i="6"/>
  <c r="E8" i="6"/>
  <c r="F8" i="6"/>
  <c r="C9" i="6"/>
  <c r="G9" i="6"/>
  <c r="E10" i="6"/>
  <c r="F10" i="6"/>
  <c r="C11" i="6"/>
  <c r="G11" i="6"/>
  <c r="E12" i="6"/>
  <c r="F12" i="6"/>
  <c r="C13" i="6"/>
  <c r="G13" i="6"/>
  <c r="E14" i="6"/>
  <c r="B38" i="5"/>
  <c r="B39" i="5"/>
  <c r="B45" i="5"/>
  <c r="B32" i="5"/>
  <c r="B72" i="5"/>
  <c r="C63" i="5"/>
  <c r="C64" i="5"/>
  <c r="C50" i="5"/>
  <c r="B33" i="5"/>
  <c r="B27" i="5"/>
  <c r="B31" i="5"/>
  <c r="B34" i="5"/>
  <c r="B35" i="5"/>
  <c r="B36" i="5"/>
  <c r="B37" i="5"/>
  <c r="B26" i="5"/>
  <c r="B14" i="5"/>
  <c r="D14" i="5"/>
  <c r="B13" i="5"/>
  <c r="D13" i="5"/>
  <c r="B12" i="5"/>
  <c r="C12" i="5"/>
  <c r="B11" i="5"/>
  <c r="D11" i="5"/>
  <c r="B10" i="5"/>
  <c r="C10" i="5"/>
  <c r="B9" i="5"/>
  <c r="D9" i="5"/>
  <c r="B8" i="5"/>
  <c r="C8" i="5"/>
  <c r="B7" i="5"/>
  <c r="D7" i="5"/>
  <c r="B6" i="5"/>
  <c r="C6" i="5"/>
  <c r="B5" i="5"/>
  <c r="D5" i="5"/>
  <c r="B4" i="5"/>
  <c r="C4" i="5"/>
  <c r="B3" i="5"/>
  <c r="D3" i="5"/>
  <c r="R2" i="5"/>
  <c r="U2" i="5"/>
  <c r="C24" i="5"/>
  <c r="C49" i="5"/>
  <c r="J2" i="5"/>
  <c r="B2" i="5"/>
  <c r="C2" i="5"/>
  <c r="C54" i="2"/>
  <c r="C55" i="2"/>
  <c r="C52" i="2"/>
  <c r="C53" i="2"/>
  <c r="C43" i="2"/>
  <c r="C51" i="2"/>
  <c r="B36" i="2"/>
  <c r="C47" i="2"/>
  <c r="C46" i="2"/>
  <c r="E23" i="2"/>
  <c r="E22" i="2"/>
  <c r="C45" i="2"/>
  <c r="C44" i="2"/>
  <c r="C42" i="2"/>
  <c r="C41" i="2"/>
  <c r="C39" i="2"/>
  <c r="C38" i="2"/>
  <c r="C36" i="2"/>
  <c r="C35" i="2"/>
  <c r="C34" i="2"/>
  <c r="C30" i="2"/>
  <c r="C33" i="2"/>
  <c r="C49" i="2"/>
  <c r="C25" i="2"/>
  <c r="C40" i="2"/>
  <c r="B38" i="2"/>
  <c r="B35" i="2"/>
  <c r="B34" i="2"/>
  <c r="B33" i="2"/>
  <c r="B32" i="2"/>
  <c r="B31" i="2"/>
  <c r="C31" i="2"/>
  <c r="B30" i="2"/>
  <c r="C29" i="2"/>
  <c r="B29" i="2"/>
  <c r="C27" i="2"/>
  <c r="B27" i="2"/>
  <c r="C26" i="2"/>
  <c r="B26" i="2"/>
  <c r="C24" i="2"/>
  <c r="AD2" i="2"/>
  <c r="Z2" i="2"/>
  <c r="U2" i="2"/>
  <c r="R2" i="2"/>
  <c r="Q2" i="2"/>
  <c r="N2" i="2"/>
  <c r="H16" i="2"/>
  <c r="L14" i="2"/>
  <c r="M14" i="2"/>
  <c r="E3" i="6"/>
  <c r="F3" i="6"/>
  <c r="E7" i="6"/>
  <c r="F7" i="6"/>
  <c r="Q2" i="6"/>
  <c r="F14" i="6"/>
  <c r="E13" i="6"/>
  <c r="F13" i="6"/>
  <c r="B40" i="6"/>
  <c r="H22" i="6"/>
  <c r="B41" i="6"/>
  <c r="E2" i="6"/>
  <c r="F2" i="6"/>
  <c r="E11" i="6"/>
  <c r="F11" i="6"/>
  <c r="E5" i="6"/>
  <c r="F5" i="6"/>
  <c r="C52" i="5"/>
  <c r="G22" i="5"/>
  <c r="B40" i="5"/>
  <c r="D2" i="5"/>
  <c r="G2" i="5"/>
  <c r="H22" i="5"/>
  <c r="B41" i="5"/>
  <c r="C62" i="5"/>
  <c r="C65" i="5"/>
  <c r="C3" i="5"/>
  <c r="C5" i="5"/>
  <c r="G5" i="5"/>
  <c r="C7" i="5"/>
  <c r="C9" i="5"/>
  <c r="G9" i="5"/>
  <c r="C11" i="5"/>
  <c r="C13" i="5"/>
  <c r="E13" i="5"/>
  <c r="F13" i="5"/>
  <c r="D4" i="5"/>
  <c r="G4" i="5"/>
  <c r="D6" i="5"/>
  <c r="G6" i="5"/>
  <c r="D8" i="5"/>
  <c r="G8" i="5"/>
  <c r="D10" i="5"/>
  <c r="G10" i="5"/>
  <c r="D12" i="5"/>
  <c r="G12" i="5"/>
  <c r="C60" i="5"/>
  <c r="E8" i="5"/>
  <c r="F8" i="5"/>
  <c r="G3" i="5"/>
  <c r="G7" i="5"/>
  <c r="G11" i="5"/>
  <c r="G13" i="5"/>
  <c r="E4" i="5"/>
  <c r="F4" i="5"/>
  <c r="E12" i="5"/>
  <c r="F12" i="5"/>
  <c r="E2" i="5"/>
  <c r="F2" i="5"/>
  <c r="C51" i="5"/>
  <c r="C53" i="5"/>
  <c r="C54" i="5"/>
  <c r="E3" i="5"/>
  <c r="F3" i="5"/>
  <c r="E5" i="5"/>
  <c r="F5" i="5"/>
  <c r="E7" i="5"/>
  <c r="F7" i="5"/>
  <c r="E11" i="5"/>
  <c r="F11" i="5"/>
  <c r="C14" i="5"/>
  <c r="G14" i="5"/>
  <c r="M14" i="5"/>
  <c r="C48" i="2"/>
  <c r="C50" i="2"/>
  <c r="C32" i="2"/>
  <c r="J2" i="2"/>
  <c r="B14" i="2"/>
  <c r="D14" i="2"/>
  <c r="B13" i="2"/>
  <c r="D13" i="2"/>
  <c r="D12" i="2"/>
  <c r="C12" i="2"/>
  <c r="G12" i="2"/>
  <c r="B12" i="2"/>
  <c r="B11" i="2"/>
  <c r="D11" i="2"/>
  <c r="B10" i="2"/>
  <c r="D10" i="2"/>
  <c r="B9" i="2"/>
  <c r="C9" i="2"/>
  <c r="B8" i="2"/>
  <c r="D8" i="2"/>
  <c r="B7" i="2"/>
  <c r="D7" i="2"/>
  <c r="B6" i="2"/>
  <c r="D6" i="2"/>
  <c r="B5" i="2"/>
  <c r="D5" i="2"/>
  <c r="B4" i="2"/>
  <c r="D4" i="2"/>
  <c r="B3" i="2"/>
  <c r="D3" i="2"/>
  <c r="B2" i="2"/>
  <c r="C2" i="2"/>
  <c r="B43" i="6"/>
  <c r="B44" i="6"/>
  <c r="B42" i="6"/>
  <c r="Z2" i="6"/>
  <c r="C25" i="6"/>
  <c r="C27" i="6"/>
  <c r="C30" i="6"/>
  <c r="C31" i="6"/>
  <c r="B43" i="5"/>
  <c r="B44" i="5"/>
  <c r="B42" i="5"/>
  <c r="E10" i="5"/>
  <c r="F10" i="5"/>
  <c r="E6" i="5"/>
  <c r="F6" i="5"/>
  <c r="E9" i="5"/>
  <c r="F9" i="5"/>
  <c r="E14" i="5"/>
  <c r="G2" i="2"/>
  <c r="C8" i="2"/>
  <c r="G8" i="2"/>
  <c r="C11" i="2"/>
  <c r="G11" i="2"/>
  <c r="C7" i="2"/>
  <c r="G7" i="2"/>
  <c r="C4" i="2"/>
  <c r="G4" i="2"/>
  <c r="C3" i="2"/>
  <c r="C5" i="2"/>
  <c r="G5" i="2"/>
  <c r="E11" i="2"/>
  <c r="F11" i="2"/>
  <c r="C13" i="2"/>
  <c r="D2" i="2"/>
  <c r="E2" i="2"/>
  <c r="F2" i="2"/>
  <c r="C6" i="2"/>
  <c r="E8" i="2"/>
  <c r="F8" i="2"/>
  <c r="D9" i="2"/>
  <c r="E9" i="2"/>
  <c r="F9" i="2"/>
  <c r="C10" i="2"/>
  <c r="E12" i="2"/>
  <c r="F12" i="2"/>
  <c r="C14" i="2"/>
  <c r="E5" i="2"/>
  <c r="F5" i="2"/>
  <c r="C21" i="3"/>
  <c r="B21" i="3"/>
  <c r="D21" i="3"/>
  <c r="D20" i="3"/>
  <c r="C20" i="3"/>
  <c r="B20" i="3"/>
  <c r="D19" i="3"/>
  <c r="B19" i="3"/>
  <c r="C19" i="3"/>
  <c r="B18" i="3"/>
  <c r="D18" i="3"/>
  <c r="C17" i="3"/>
  <c r="B17" i="3"/>
  <c r="D17" i="3"/>
  <c r="D16" i="3"/>
  <c r="C16" i="3"/>
  <c r="B16" i="3"/>
  <c r="D15" i="3"/>
  <c r="B15" i="3"/>
  <c r="C15" i="3"/>
  <c r="B14" i="3"/>
  <c r="D14" i="3"/>
  <c r="C13" i="3"/>
  <c r="B13" i="3"/>
  <c r="D13" i="3"/>
  <c r="D12" i="3"/>
  <c r="C12" i="3"/>
  <c r="B12" i="3"/>
  <c r="D11" i="3"/>
  <c r="B11" i="3"/>
  <c r="C11" i="3"/>
  <c r="B10" i="3"/>
  <c r="D10" i="3"/>
  <c r="C9" i="3"/>
  <c r="B9" i="3"/>
  <c r="D9" i="3"/>
  <c r="D8" i="3"/>
  <c r="C8" i="3"/>
  <c r="B8" i="3"/>
  <c r="D7" i="3"/>
  <c r="B7" i="3"/>
  <c r="C7" i="3"/>
  <c r="B6" i="3"/>
  <c r="D6" i="3"/>
  <c r="C5" i="3"/>
  <c r="B5" i="3"/>
  <c r="D5" i="3"/>
  <c r="D4" i="3"/>
  <c r="C4" i="3"/>
  <c r="B4" i="3"/>
  <c r="D3" i="3"/>
  <c r="B3" i="3"/>
  <c r="C3" i="3"/>
  <c r="J2" i="3"/>
  <c r="C2" i="3"/>
  <c r="B2" i="3"/>
  <c r="D2" i="3"/>
  <c r="B17" i="1"/>
  <c r="B16" i="1"/>
  <c r="C16" i="1"/>
  <c r="B15" i="1"/>
  <c r="D15" i="1"/>
  <c r="B14" i="1"/>
  <c r="D14" i="1"/>
  <c r="C32" i="6"/>
  <c r="H16" i="5"/>
  <c r="L14" i="5"/>
  <c r="N2" i="5"/>
  <c r="Q2" i="5"/>
  <c r="F14" i="5"/>
  <c r="E10" i="2"/>
  <c r="F10" i="2"/>
  <c r="G10" i="2"/>
  <c r="E4" i="2"/>
  <c r="F4" i="2"/>
  <c r="E14" i="2"/>
  <c r="F14" i="2"/>
  <c r="G14" i="2"/>
  <c r="E6" i="2"/>
  <c r="F6" i="2"/>
  <c r="G6" i="2"/>
  <c r="E7" i="2"/>
  <c r="F7" i="2"/>
  <c r="E3" i="2"/>
  <c r="F3" i="2"/>
  <c r="G3" i="2"/>
  <c r="E13" i="2"/>
  <c r="F13" i="2"/>
  <c r="G13" i="2"/>
  <c r="G9" i="2"/>
  <c r="E3" i="3"/>
  <c r="F3" i="3"/>
  <c r="E11" i="3"/>
  <c r="F11" i="3"/>
  <c r="E4" i="3"/>
  <c r="F4" i="3"/>
  <c r="C6" i="3"/>
  <c r="E8" i="3"/>
  <c r="F8" i="3"/>
  <c r="C10" i="3"/>
  <c r="E12" i="3"/>
  <c r="F12" i="3"/>
  <c r="C14" i="3"/>
  <c r="E16" i="3"/>
  <c r="F16" i="3"/>
  <c r="C18" i="3"/>
  <c r="E18" i="3"/>
  <c r="F18" i="3"/>
  <c r="E20" i="3"/>
  <c r="F20" i="3"/>
  <c r="E7" i="3"/>
  <c r="F7" i="3"/>
  <c r="E15" i="3"/>
  <c r="F15" i="3"/>
  <c r="E19" i="3"/>
  <c r="F19" i="3"/>
  <c r="E2" i="3"/>
  <c r="F2" i="3"/>
  <c r="E5" i="3"/>
  <c r="F5" i="3"/>
  <c r="E9" i="3"/>
  <c r="F9" i="3"/>
  <c r="E13" i="3"/>
  <c r="F13" i="3"/>
  <c r="E17" i="3"/>
  <c r="F17" i="3"/>
  <c r="E21" i="3"/>
  <c r="F21" i="3"/>
  <c r="E6" i="3"/>
  <c r="F6" i="3"/>
  <c r="E10" i="3"/>
  <c r="F10" i="3"/>
  <c r="E14" i="3"/>
  <c r="F14" i="3"/>
  <c r="C17" i="1"/>
  <c r="E17" i="1"/>
  <c r="F17" i="1"/>
  <c r="D16" i="1"/>
  <c r="E16" i="1"/>
  <c r="F16" i="1"/>
  <c r="C15" i="1"/>
  <c r="E15" i="1"/>
  <c r="F15" i="1"/>
  <c r="C14" i="1"/>
  <c r="E14" i="1"/>
  <c r="F14" i="1"/>
  <c r="B13" i="1"/>
  <c r="C13" i="1"/>
  <c r="B12" i="1"/>
  <c r="C12" i="1"/>
  <c r="B11" i="1"/>
  <c r="D11" i="1"/>
  <c r="B10" i="1"/>
  <c r="D10" i="1"/>
  <c r="B9" i="1"/>
  <c r="D9" i="1"/>
  <c r="B8" i="1"/>
  <c r="C8" i="1"/>
  <c r="B7" i="1"/>
  <c r="C7" i="1"/>
  <c r="B4" i="1"/>
  <c r="C4" i="1"/>
  <c r="B5" i="1"/>
  <c r="D5" i="1"/>
  <c r="B6" i="1"/>
  <c r="D6" i="1"/>
  <c r="B3" i="1"/>
  <c r="D3" i="1"/>
  <c r="B2" i="1"/>
  <c r="C34" i="6"/>
  <c r="C35" i="6"/>
  <c r="C36" i="6"/>
  <c r="C58" i="6"/>
  <c r="C59" i="6"/>
  <c r="C57" i="6"/>
  <c r="AD2" i="5"/>
  <c r="C27" i="5"/>
  <c r="C29" i="5"/>
  <c r="C30" i="5"/>
  <c r="C31" i="5"/>
  <c r="Z2" i="5"/>
  <c r="C25" i="5"/>
  <c r="C6" i="1"/>
  <c r="E6" i="1"/>
  <c r="F6" i="1"/>
  <c r="C2" i="1"/>
  <c r="E2" i="1"/>
  <c r="F2" i="1"/>
  <c r="C11" i="1"/>
  <c r="E11" i="1"/>
  <c r="F11" i="1"/>
  <c r="C10" i="1"/>
  <c r="E10" i="1"/>
  <c r="F10" i="1"/>
  <c r="C9" i="1"/>
  <c r="E9" i="1"/>
  <c r="F9" i="1"/>
  <c r="D7" i="1"/>
  <c r="E7" i="1"/>
  <c r="F7" i="1"/>
  <c r="D4" i="1"/>
  <c r="E4" i="1"/>
  <c r="F4" i="1"/>
  <c r="C3" i="1"/>
  <c r="E3" i="1"/>
  <c r="F3" i="1"/>
  <c r="C5" i="1"/>
  <c r="E5" i="1"/>
  <c r="F5" i="1"/>
  <c r="D12" i="1"/>
  <c r="E12" i="1"/>
  <c r="F12" i="1"/>
  <c r="D8" i="1"/>
  <c r="E8" i="1"/>
  <c r="F8" i="1"/>
  <c r="D13" i="1"/>
  <c r="E13" i="1"/>
  <c r="F13" i="1"/>
  <c r="C33" i="5"/>
  <c r="C57" i="5"/>
  <c r="C26" i="5"/>
  <c r="C32" i="5"/>
  <c r="C66" i="5"/>
  <c r="C34" i="5"/>
  <c r="C35" i="5"/>
  <c r="C36" i="5"/>
</calcChain>
</file>

<file path=xl/sharedStrings.xml><?xml version="1.0" encoding="utf-8"?>
<sst xmlns="http://schemas.openxmlformats.org/spreadsheetml/2006/main" count="246" uniqueCount="83">
  <si>
    <t>Pi(T)</t>
  </si>
  <si>
    <t>Pn(T)</t>
  </si>
  <si>
    <t>Xi=(Pt-Pn(T))/(Pi(T)-Pn(T))</t>
  </si>
  <si>
    <t>yi=Xi*Pi(T)/Pt</t>
  </si>
  <si>
    <t>T(K)</t>
  </si>
  <si>
    <t>Pt=PB=Pc+Apt (mmHg)</t>
  </si>
  <si>
    <t>alfa=Pi(TB)/Pn(TB)</t>
  </si>
  <si>
    <t>mu iso colas</t>
  </si>
  <si>
    <t>mu media</t>
  </si>
  <si>
    <t>alfa media</t>
  </si>
  <si>
    <t>alfa cabeza</t>
  </si>
  <si>
    <t>mu n colas</t>
  </si>
  <si>
    <t>mu en colas</t>
  </si>
  <si>
    <t xml:space="preserve">mu en cabeza   </t>
  </si>
  <si>
    <t>Eo=51-32,5*log(mu media*alfa media)</t>
  </si>
  <si>
    <t>Nreal</t>
  </si>
  <si>
    <t>d L' iso fondos (kmol/m3)</t>
  </si>
  <si>
    <t>d L' n-but fondos (kmol/m3)</t>
  </si>
  <si>
    <t>d V' iso fondos (kmol/m3)</t>
  </si>
  <si>
    <t>d V' n-but fondos (kmol/m3)</t>
  </si>
  <si>
    <t>d V' media fondos (kg/m3)</t>
  </si>
  <si>
    <t>d L' media fondos (kg/m3)</t>
  </si>
  <si>
    <t>SIGMA L' ISO FONDOS (Dyn/cm)</t>
  </si>
  <si>
    <t>SIGMA L' N-BUT FONDOS (Dyn/cm)</t>
  </si>
  <si>
    <t>SIMA L'  FONDOS (N/m)</t>
  </si>
  <si>
    <t>SIGMA L  CABEZA (N/m)</t>
  </si>
  <si>
    <r>
      <t>F</t>
    </r>
    <r>
      <rPr>
        <vertAlign val="subscript"/>
        <sz val="11"/>
        <color theme="1"/>
        <rFont val="Calibri"/>
        <family val="2"/>
        <scheme val="minor"/>
      </rPr>
      <t>LV</t>
    </r>
  </si>
  <si>
    <t>CABEZA</t>
  </si>
  <si>
    <t>COLAS</t>
  </si>
  <si>
    <t>V</t>
  </si>
  <si>
    <t>d V</t>
  </si>
  <si>
    <t>L (kmol/h)</t>
  </si>
  <si>
    <t>d L (Kg/m3)</t>
  </si>
  <si>
    <t>sigma L</t>
  </si>
  <si>
    <t>K1 TABLA</t>
  </si>
  <si>
    <t>K1 CORREG</t>
  </si>
  <si>
    <t>uf  (m/s)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</si>
  <si>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n </t>
    </r>
    <r>
      <rPr>
        <sz val="11"/>
        <color theme="1"/>
        <rFont val="Calibri"/>
        <family val="2"/>
        <scheme val="minor"/>
      </rPr>
      <t>(m/s)</t>
    </r>
  </si>
  <si>
    <r>
      <t>u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(m/s)</t>
    </r>
  </si>
  <si>
    <r>
      <t>Q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(m3/s)</t>
    </r>
  </si>
  <si>
    <t>An (m2)</t>
  </si>
  <si>
    <t>A TRANSV</t>
  </si>
  <si>
    <t>D COLUMN</t>
  </si>
  <si>
    <t>D CABEZA STD</t>
  </si>
  <si>
    <r>
      <t>Q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L (m3/s)</t>
    </r>
  </si>
  <si>
    <t xml:space="preserve">L Minimo </t>
  </si>
  <si>
    <t>L Maximo (kg/s)</t>
  </si>
  <si>
    <r>
      <t>h</t>
    </r>
    <r>
      <rPr>
        <vertAlign val="subscript"/>
        <sz val="11"/>
        <color theme="1"/>
        <rFont val="Calibri"/>
        <family val="2"/>
        <scheme val="minor"/>
      </rPr>
      <t>ow</t>
    </r>
    <r>
      <rPr>
        <sz val="11"/>
        <color theme="1"/>
        <rFont val="Calibri"/>
        <family val="2"/>
        <scheme val="minor"/>
      </rPr>
      <t xml:space="preserve"> (mm) maximo</t>
    </r>
  </si>
  <si>
    <r>
      <t>h</t>
    </r>
    <r>
      <rPr>
        <vertAlign val="subscript"/>
        <sz val="11"/>
        <color theme="1"/>
        <rFont val="Calibri"/>
        <family val="2"/>
        <scheme val="minor"/>
      </rPr>
      <t>ow</t>
    </r>
    <r>
      <rPr>
        <sz val="11"/>
        <color theme="1"/>
        <rFont val="Calibri"/>
        <family val="2"/>
        <scheme val="minor"/>
      </rPr>
      <t xml:space="preserve"> (mm) minimo</t>
    </r>
  </si>
  <si>
    <t>hw+how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</si>
  <si>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h </t>
    </r>
    <r>
      <rPr>
        <sz val="11"/>
        <color theme="1"/>
        <rFont val="Calibri"/>
        <family val="2"/>
        <scheme val="minor"/>
      </rPr>
      <t>(m/s)</t>
    </r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</si>
  <si>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h real </t>
    </r>
    <r>
      <rPr>
        <sz val="11"/>
        <color theme="1"/>
        <rFont val="Calibri"/>
        <family val="2"/>
        <scheme val="minor"/>
      </rPr>
      <t>(m/s)</t>
    </r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</si>
  <si>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h real  1 </t>
    </r>
    <r>
      <rPr>
        <sz val="11"/>
        <color theme="1"/>
        <rFont val="Calibri"/>
        <family val="2"/>
        <scheme val="minor"/>
      </rPr>
      <t>(m/s)</t>
    </r>
  </si>
  <si>
    <t>Ah</t>
  </si>
  <si>
    <t>ûh max</t>
  </si>
  <si>
    <t>hd</t>
  </si>
  <si>
    <t>Co</t>
  </si>
  <si>
    <t>hr</t>
  </si>
  <si>
    <t>ht</t>
  </si>
  <si>
    <t>sección real</t>
  </si>
  <si>
    <t>Aa(m2)</t>
  </si>
  <si>
    <t>hap</t>
  </si>
  <si>
    <t>hb (mm)</t>
  </si>
  <si>
    <t>hdc (mm)</t>
  </si>
  <si>
    <t>Aap</t>
  </si>
  <si>
    <t>tomando nuevo espaciado</t>
  </si>
  <si>
    <t>espaciado</t>
  </si>
  <si>
    <t>D pulgadas</t>
  </si>
  <si>
    <t>D Pulgadas std</t>
  </si>
  <si>
    <t>D CABEZA STD (m)</t>
  </si>
  <si>
    <t>A columna</t>
  </si>
  <si>
    <t>Ad</t>
  </si>
  <si>
    <t>An (m2) req inic</t>
  </si>
  <si>
    <t xml:space="preserve">An (m2) </t>
  </si>
  <si>
    <t>Aa</t>
  </si>
  <si>
    <t>lw</t>
  </si>
  <si>
    <t>k2</t>
  </si>
  <si>
    <t>t residencia bajant</t>
  </si>
  <si>
    <t>Un real (m/s)</t>
  </si>
  <si>
    <t>% pi</t>
  </si>
  <si>
    <t>fi arrastre fraccion</t>
  </si>
  <si>
    <t>º C</t>
  </si>
  <si>
    <t>alfa =Pi(T)/Pn(T)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</si>
</sst>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mbria Math"/>
      <family val="1"/>
    </font>
    <font>
      <vertAlign val="subscript"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3" fillId="0" borderId="0" xfId="0" applyFont="1"/>
    <xf numFmtId="0" fontId="0" fillId="0" borderId="0" xfId="0" applyAlignment="1"/>
    <xf numFmtId="0" fontId="0" fillId="0" borderId="0" xfId="0" applyFont="1"/>
    <xf numFmtId="0" fontId="0" fillId="3" borderId="0" xfId="0" applyFill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4" borderId="5" xfId="0" applyFill="1" applyBorder="1"/>
    <xf numFmtId="0" fontId="0" fillId="0" borderId="6" xfId="0" applyBorder="1"/>
    <xf numFmtId="0" fontId="0" fillId="0" borderId="5" xfId="0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9" xfId="0" applyBorder="1"/>
    <xf numFmtId="0" fontId="0" fillId="0" borderId="0" xfId="0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63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</c:marker>
          <c:xVal>
            <c:numRef>
              <c:f>'Curva Equilibrio_Bloque2_Mc_Cab'!$E$3:$E$16</c:f>
              <c:numCache>
                <c:formatCode>General</c:formatCode>
                <c:ptCount val="14"/>
                <c:pt idx="0">
                  <c:v>0.981434430847894</c:v>
                </c:pt>
                <c:pt idx="1">
                  <c:v>0.923021955364217</c:v>
                </c:pt>
                <c:pt idx="2">
                  <c:v>0.817412239205781</c:v>
                </c:pt>
                <c:pt idx="3">
                  <c:v>0.715008895085316</c:v>
                </c:pt>
                <c:pt idx="4">
                  <c:v>0.615675847502196</c:v>
                </c:pt>
                <c:pt idx="5">
                  <c:v>0.519283479774659</c:v>
                </c:pt>
                <c:pt idx="6">
                  <c:v>0.425708291629008</c:v>
                </c:pt>
                <c:pt idx="7">
                  <c:v>0.334832576710786</c:v>
                </c:pt>
                <c:pt idx="8">
                  <c:v>0.246544118759523</c:v>
                </c:pt>
                <c:pt idx="9">
                  <c:v>0.160735905274365</c:v>
                </c:pt>
                <c:pt idx="10">
                  <c:v>0.118729804953617</c:v>
                </c:pt>
                <c:pt idx="11">
                  <c:v>0.0773058575769945</c:v>
                </c:pt>
                <c:pt idx="12">
                  <c:v>0.0364520324585133</c:v>
                </c:pt>
                <c:pt idx="13">
                  <c:v>0.0122084953585272</c:v>
                </c:pt>
              </c:numCache>
            </c:numRef>
          </c:xVal>
          <c:yVal>
            <c:numRef>
              <c:f>'Curva Equilibrio_Bloque2_Mc_Cab'!$F$3:$F$16</c:f>
              <c:numCache>
                <c:formatCode>General</c:formatCode>
                <c:ptCount val="14"/>
                <c:pt idx="0">
                  <c:v>0.98689276729134</c:v>
                </c:pt>
                <c:pt idx="1">
                  <c:v>0.944636894886749</c:v>
                </c:pt>
                <c:pt idx="2">
                  <c:v>0.86412027117508</c:v>
                </c:pt>
                <c:pt idx="3">
                  <c:v>0.780597570180707</c:v>
                </c:pt>
                <c:pt idx="4">
                  <c:v>0.693991383460447</c:v>
                </c:pt>
                <c:pt idx="5">
                  <c:v>0.604222915019926</c:v>
                </c:pt>
                <c:pt idx="6">
                  <c:v>0.511211968397932</c:v>
                </c:pt>
                <c:pt idx="7">
                  <c:v>0.414876933776203</c:v>
                </c:pt>
                <c:pt idx="8">
                  <c:v>0.315134775114406</c:v>
                </c:pt>
                <c:pt idx="9">
                  <c:v>0.211901017310127</c:v>
                </c:pt>
                <c:pt idx="10">
                  <c:v>0.158947993612215</c:v>
                </c:pt>
                <c:pt idx="11">
                  <c:v>0.105089733383448</c:v>
                </c:pt>
                <c:pt idx="12">
                  <c:v>0.0503152667969389</c:v>
                </c:pt>
                <c:pt idx="13">
                  <c:v>0.0170062097852008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9807536"/>
        <c:axId val="2137421920"/>
      </c:scatterChart>
      <c:valAx>
        <c:axId val="-211980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421920"/>
        <c:crosses val="autoZero"/>
        <c:crossBetween val="midCat"/>
      </c:valAx>
      <c:valAx>
        <c:axId val="213742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9807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139196</xdr:colOff>
      <xdr:row>8</xdr:row>
      <xdr:rowOff>75192</xdr:rowOff>
    </xdr:from>
    <xdr:to>
      <xdr:col>6</xdr:col>
      <xdr:colOff>93014</xdr:colOff>
      <xdr:row>23</xdr:row>
      <xdr:rowOff>20840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G16"/>
    </sheetView>
  </sheetViews>
  <sheetFormatPr baseColWidth="10" defaultRowHeight="15" x14ac:dyDescent="0.2"/>
  <cols>
    <col min="1" max="1" width="8.33203125" customWidth="1"/>
    <col min="2" max="2" width="9.5" customWidth="1"/>
    <col min="3" max="3" width="13.5" customWidth="1"/>
    <col min="4" max="4" width="11" customWidth="1"/>
    <col min="5" max="5" width="25.33203125" customWidth="1"/>
    <col min="6" max="6" width="18.33203125" customWidth="1"/>
    <col min="7" max="7" width="15.5" customWidth="1"/>
    <col min="10" max="10" width="20.5" customWidth="1"/>
  </cols>
  <sheetData>
    <row r="1" spans="1:10" ht="16" x14ac:dyDescent="0.2">
      <c r="A1" s="6" t="s">
        <v>81</v>
      </c>
      <c r="B1" s="7" t="s">
        <v>4</v>
      </c>
      <c r="C1" s="7" t="s">
        <v>0</v>
      </c>
      <c r="D1" s="7" t="s">
        <v>1</v>
      </c>
      <c r="E1" s="7" t="s">
        <v>2</v>
      </c>
      <c r="F1" s="7" t="s">
        <v>3</v>
      </c>
      <c r="G1" s="31" t="s">
        <v>82</v>
      </c>
      <c r="J1" t="s">
        <v>5</v>
      </c>
    </row>
    <row r="2" spans="1:10" ht="16" x14ac:dyDescent="0.2">
      <c r="A2" s="9">
        <v>75.5</v>
      </c>
      <c r="B2" s="10">
        <f>A2+273</f>
        <v>348.5</v>
      </c>
      <c r="C2" s="11">
        <f>EXP(15.9888-(2676.98/(B2-51.15)))</f>
        <v>1081.3966473362161</v>
      </c>
      <c r="D2" s="11">
        <f>EXP(16.1668-(2839.09/(B2-50.15)))</f>
        <v>773.4250941683257</v>
      </c>
      <c r="E2" s="11">
        <f>($J$2-D2)/(C2-D2)</f>
        <v>-4.3591994228788469E-2</v>
      </c>
      <c r="F2" s="11">
        <f>E2*C2/$J$2</f>
        <v>-6.2026626854883596E-2</v>
      </c>
      <c r="G2" s="23">
        <f>C2/D2</f>
        <v>1.398191829422158</v>
      </c>
      <c r="J2">
        <f>760+0*760/101325</f>
        <v>760</v>
      </c>
    </row>
    <row r="3" spans="1:10" ht="16" x14ac:dyDescent="0.2">
      <c r="A3" s="13">
        <v>75</v>
      </c>
      <c r="B3" s="10">
        <f t="shared" ref="B3:B16" si="0">A3+273</f>
        <v>348</v>
      </c>
      <c r="C3" s="11">
        <f t="shared" ref="C3:C16" si="1">EXP(15.9888-(2676.98/(B3-51.15)))</f>
        <v>1065.1221898043543</v>
      </c>
      <c r="D3" s="11">
        <f t="shared" ref="D3:D16" si="2">EXP(16.1668-(2839.09/(B3-50.15)))</f>
        <v>761.16822389086599</v>
      </c>
      <c r="E3" s="11">
        <f t="shared" ref="E3:E16" si="3">($J$2-D3)/(C3-D3)</f>
        <v>-3.8434237479187533E-3</v>
      </c>
      <c r="F3" s="11">
        <f t="shared" ref="F3:F16" si="4">E3*C3/$J$2</f>
        <v>-5.3864683141174761E-3</v>
      </c>
      <c r="G3" s="23">
        <f t="shared" ref="G3:G16" si="5">C3/D3</f>
        <v>1.3993256107825494</v>
      </c>
    </row>
    <row r="4" spans="1:10" ht="16" x14ac:dyDescent="0.2">
      <c r="A4" s="13">
        <v>74</v>
      </c>
      <c r="B4" s="10">
        <f t="shared" si="0"/>
        <v>347</v>
      </c>
      <c r="C4" s="11">
        <f t="shared" si="1"/>
        <v>1033.1454804944622</v>
      </c>
      <c r="D4" s="11">
        <f t="shared" si="2"/>
        <v>737.11511903884593</v>
      </c>
      <c r="E4" s="11">
        <f t="shared" si="3"/>
        <v>7.7305857576994486E-2</v>
      </c>
      <c r="F4" s="11">
        <f t="shared" si="4"/>
        <v>0.10508973338344792</v>
      </c>
      <c r="G4" s="23">
        <f t="shared" si="5"/>
        <v>1.4016066877608238</v>
      </c>
    </row>
    <row r="5" spans="1:10" ht="16" x14ac:dyDescent="0.2">
      <c r="A5" s="13">
        <v>73</v>
      </c>
      <c r="B5" s="10">
        <f t="shared" si="0"/>
        <v>346</v>
      </c>
      <c r="C5" s="11">
        <f t="shared" si="1"/>
        <v>1001.9215860999064</v>
      </c>
      <c r="D5" s="11">
        <f t="shared" si="2"/>
        <v>713.66716461295675</v>
      </c>
      <c r="E5" s="11">
        <f t="shared" si="3"/>
        <v>0.16073590527436507</v>
      </c>
      <c r="F5" s="11">
        <f t="shared" si="4"/>
        <v>0.21190101731012653</v>
      </c>
      <c r="G5" s="23">
        <f t="shared" si="5"/>
        <v>1.403905960341161</v>
      </c>
    </row>
    <row r="6" spans="1:10" ht="16" x14ac:dyDescent="0.2">
      <c r="A6" s="13">
        <v>73.5</v>
      </c>
      <c r="B6" s="10">
        <f t="shared" si="0"/>
        <v>346.5</v>
      </c>
      <c r="C6" s="11">
        <f t="shared" si="1"/>
        <v>1017.4401886070219</v>
      </c>
      <c r="D6" s="11">
        <f t="shared" si="2"/>
        <v>725.31617255145522</v>
      </c>
      <c r="E6" s="11">
        <f t="shared" si="3"/>
        <v>0.11872980495361721</v>
      </c>
      <c r="F6" s="11">
        <f t="shared" si="4"/>
        <v>0.15894799361221476</v>
      </c>
      <c r="G6" s="23">
        <f t="shared" si="5"/>
        <v>1.4027540362542281</v>
      </c>
    </row>
    <row r="7" spans="1:10" ht="16" x14ac:dyDescent="0.2">
      <c r="A7" s="13">
        <v>73.599999999999994</v>
      </c>
      <c r="B7" s="10">
        <f t="shared" si="0"/>
        <v>346.6</v>
      </c>
      <c r="C7" s="11">
        <f t="shared" si="1"/>
        <v>1020.5662634779333</v>
      </c>
      <c r="D7" s="11">
        <f t="shared" si="2"/>
        <v>727.66392371933955</v>
      </c>
      <c r="E7" s="11">
        <f t="shared" si="3"/>
        <v>0.11039883227737758</v>
      </c>
      <c r="F7" s="11">
        <f t="shared" si="4"/>
        <v>0.14824911019690828</v>
      </c>
      <c r="G7" s="23">
        <f t="shared" si="5"/>
        <v>1.4025242013668473</v>
      </c>
    </row>
    <row r="8" spans="1:10" ht="16" x14ac:dyDescent="0.2">
      <c r="A8" s="13">
        <v>73.8</v>
      </c>
      <c r="B8" s="10">
        <f t="shared" si="0"/>
        <v>346.8</v>
      </c>
      <c r="C8" s="11">
        <f t="shared" si="1"/>
        <v>1026.8408642719821</v>
      </c>
      <c r="D8" s="11">
        <f t="shared" si="2"/>
        <v>732.37746169108664</v>
      </c>
      <c r="E8" s="11">
        <f t="shared" si="3"/>
        <v>9.3806354429137762E-2</v>
      </c>
      <c r="F8" s="11">
        <f t="shared" si="4"/>
        <v>0.12674236586344698</v>
      </c>
      <c r="G8" s="23">
        <f t="shared" si="5"/>
        <v>1.402065079803205</v>
      </c>
    </row>
    <row r="9" spans="1:10" ht="16" x14ac:dyDescent="0.2">
      <c r="A9" s="13">
        <v>74.2</v>
      </c>
      <c r="B9" s="10">
        <f t="shared" si="0"/>
        <v>347.2</v>
      </c>
      <c r="C9" s="11">
        <f t="shared" si="1"/>
        <v>1039.4802090789301</v>
      </c>
      <c r="D9" s="11">
        <f t="shared" si="2"/>
        <v>741.87698212042994</v>
      </c>
      <c r="E9" s="11">
        <f t="shared" si="3"/>
        <v>6.0896577180250988E-2</v>
      </c>
      <c r="F9" s="11">
        <f t="shared" si="4"/>
        <v>8.3290508920419087E-2</v>
      </c>
      <c r="G9" s="23">
        <f t="shared" si="5"/>
        <v>1.4011490235320305</v>
      </c>
    </row>
    <row r="10" spans="1:10" ht="16" x14ac:dyDescent="0.2">
      <c r="A10" s="13">
        <v>74.5</v>
      </c>
      <c r="B10" s="10">
        <f t="shared" si="0"/>
        <v>347.5</v>
      </c>
      <c r="C10" s="11">
        <f t="shared" si="1"/>
        <v>1049.0389749651051</v>
      </c>
      <c r="D10" s="11">
        <f t="shared" si="2"/>
        <v>749.06535174986004</v>
      </c>
      <c r="E10" s="11">
        <f t="shared" si="3"/>
        <v>3.645203245851332E-2</v>
      </c>
      <c r="F10" s="11">
        <f t="shared" si="4"/>
        <v>5.0315266796938887E-2</v>
      </c>
      <c r="G10" s="23">
        <f t="shared" si="5"/>
        <v>1.4004638881166902</v>
      </c>
    </row>
    <row r="11" spans="1:10" ht="16" x14ac:dyDescent="0.2">
      <c r="A11" s="13">
        <v>74.7</v>
      </c>
      <c r="B11" s="10">
        <f t="shared" si="0"/>
        <v>347.7</v>
      </c>
      <c r="C11" s="11">
        <f t="shared" si="1"/>
        <v>1055.4494093076198</v>
      </c>
      <c r="D11" s="11">
        <f t="shared" si="2"/>
        <v>753.88810790996149</v>
      </c>
      <c r="E11" s="11">
        <f t="shared" si="3"/>
        <v>2.0267494740576715E-2</v>
      </c>
      <c r="F11" s="11">
        <f t="shared" si="4"/>
        <v>2.8146467568535505E-2</v>
      </c>
      <c r="G11" s="23">
        <f t="shared" si="5"/>
        <v>1.4000080359851947</v>
      </c>
    </row>
    <row r="12" spans="1:10" ht="16" x14ac:dyDescent="0.2">
      <c r="A12" s="13">
        <v>74.75</v>
      </c>
      <c r="B12" s="10">
        <f t="shared" si="0"/>
        <v>347.75</v>
      </c>
      <c r="C12" s="11">
        <f t="shared" si="1"/>
        <v>1057.056772299261</v>
      </c>
      <c r="D12" s="11">
        <f t="shared" si="2"/>
        <v>755.09762310099711</v>
      </c>
      <c r="E12" s="11">
        <f t="shared" si="3"/>
        <v>1.6235232189583462E-2</v>
      </c>
      <c r="F12" s="11">
        <f t="shared" si="4"/>
        <v>2.2581002810329154E-2</v>
      </c>
      <c r="G12" s="23">
        <f t="shared" si="5"/>
        <v>1.3998941858116214</v>
      </c>
    </row>
    <row r="13" spans="1:10" ht="16" x14ac:dyDescent="0.2">
      <c r="A13" s="13">
        <v>74.77</v>
      </c>
      <c r="B13" s="10">
        <f t="shared" si="0"/>
        <v>347.77</v>
      </c>
      <c r="C13" s="11">
        <f t="shared" si="1"/>
        <v>1057.7002507563257</v>
      </c>
      <c r="D13" s="11">
        <f t="shared" si="2"/>
        <v>755.58185839072576</v>
      </c>
      <c r="E13" s="11">
        <f t="shared" si="3"/>
        <v>1.4623875013632923E-2</v>
      </c>
      <c r="F13" s="11">
        <f t="shared" si="4"/>
        <v>2.0352205617037773E-2</v>
      </c>
      <c r="G13" s="23">
        <f t="shared" si="5"/>
        <v>1.3998486583691487</v>
      </c>
    </row>
    <row r="14" spans="1:10" ht="16" x14ac:dyDescent="0.2">
      <c r="A14" s="13">
        <v>74.78</v>
      </c>
      <c r="B14" s="10">
        <f t="shared" si="0"/>
        <v>347.78</v>
      </c>
      <c r="C14" s="11">
        <f t="shared" si="1"/>
        <v>1058.0221043036604</v>
      </c>
      <c r="D14" s="11">
        <f t="shared" si="2"/>
        <v>755.82406805335074</v>
      </c>
      <c r="E14" s="11">
        <f t="shared" si="3"/>
        <v>1.3818527739175466E-2</v>
      </c>
      <c r="F14" s="11">
        <f t="shared" si="4"/>
        <v>1.9237247101290697E-2</v>
      </c>
      <c r="G14" s="23">
        <f t="shared" si="5"/>
        <v>1.3998258973528461</v>
      </c>
    </row>
    <row r="15" spans="1:10" ht="16" x14ac:dyDescent="0.2">
      <c r="A15" s="13">
        <v>74.790000000000006</v>
      </c>
      <c r="B15" s="10">
        <f t="shared" si="0"/>
        <v>347.79</v>
      </c>
      <c r="C15" s="11">
        <f t="shared" si="1"/>
        <v>1058.3440340797715</v>
      </c>
      <c r="D15" s="11">
        <f t="shared" si="2"/>
        <v>756.0663390756464</v>
      </c>
      <c r="E15" s="11">
        <f t="shared" si="3"/>
        <v>1.3013401218041978E-2</v>
      </c>
      <c r="F15" s="11">
        <f t="shared" si="4"/>
        <v>1.8121915187106787E-2</v>
      </c>
      <c r="G15" s="23">
        <f t="shared" si="5"/>
        <v>1.3998031381395508</v>
      </c>
    </row>
    <row r="16" spans="1:10" ht="17" thickBot="1" x14ac:dyDescent="0.25">
      <c r="A16" s="28">
        <v>74.8</v>
      </c>
      <c r="B16" s="29">
        <f t="shared" si="0"/>
        <v>347.8</v>
      </c>
      <c r="C16" s="30">
        <f t="shared" si="1"/>
        <v>1058.6660400968369</v>
      </c>
      <c r="D16" s="30">
        <f t="shared" si="2"/>
        <v>756.30867146848425</v>
      </c>
      <c r="E16" s="30">
        <f t="shared" si="3"/>
        <v>1.2208495358527232E-2</v>
      </c>
      <c r="F16" s="30">
        <f t="shared" si="4"/>
        <v>1.700620978520084E-2</v>
      </c>
      <c r="G16" s="32">
        <f t="shared" si="5"/>
        <v>1.3997803807290501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B1" workbookViewId="0">
      <selection activeCell="D19" sqref="D19"/>
    </sheetView>
  </sheetViews>
  <sheetFormatPr baseColWidth="10" defaultRowHeight="15" x14ac:dyDescent="0.2"/>
  <cols>
    <col min="3" max="3" width="18.5" customWidth="1"/>
    <col min="4" max="4" width="17.83203125" customWidth="1"/>
    <col min="5" max="5" width="24.5" customWidth="1"/>
    <col min="6" max="6" width="18.33203125" customWidth="1"/>
    <col min="10" max="10" width="20.5" customWidth="1"/>
  </cols>
  <sheetData>
    <row r="1" spans="1:10" ht="16" x14ac:dyDescent="0.2">
      <c r="A1" s="6" t="s">
        <v>81</v>
      </c>
      <c r="B1" s="7" t="s">
        <v>4</v>
      </c>
      <c r="C1" s="7" t="s">
        <v>0</v>
      </c>
      <c r="D1" s="7" t="s">
        <v>1</v>
      </c>
      <c r="E1" s="7" t="s">
        <v>2</v>
      </c>
      <c r="F1" s="8" t="s">
        <v>3</v>
      </c>
      <c r="J1" t="s">
        <v>5</v>
      </c>
    </row>
    <row r="2" spans="1:10" ht="16" x14ac:dyDescent="0.2">
      <c r="A2" s="9">
        <v>82.08</v>
      </c>
      <c r="B2" s="10">
        <f>A2+273</f>
        <v>355.08</v>
      </c>
      <c r="C2" s="11">
        <f>EXP(15.9888-(2676.98/(B2-51.15)))</f>
        <v>1314.1122292657208</v>
      </c>
      <c r="D2" s="11">
        <f>EXP(16.1668-(2839.09/(B2-50.15)))</f>
        <v>949.72391932790526</v>
      </c>
      <c r="E2" s="11">
        <f>($J$2-D2)/(C2-D2)</f>
        <v>-8.9875894063086073E-5</v>
      </c>
      <c r="F2" s="12">
        <f>E2*C2/$J$2</f>
        <v>-1.2436359869903135E-4</v>
      </c>
      <c r="J2">
        <f>760+25290.076*760/101325</f>
        <v>949.69116960276347</v>
      </c>
    </row>
    <row r="3" spans="1:10" ht="16" x14ac:dyDescent="0.2">
      <c r="A3" s="13">
        <v>81</v>
      </c>
      <c r="B3" s="10">
        <f t="shared" ref="B3:B13" si="0">A3+273</f>
        <v>354</v>
      </c>
      <c r="C3" s="11">
        <f t="shared" ref="C3:C13" si="1">EXP(15.9888-(2676.98/(B3-51.15)))</f>
        <v>1273.4774923849247</v>
      </c>
      <c r="D3" s="11">
        <f t="shared" ref="D3:D10" si="2">EXP(16.1668-(2839.09/(B3-50.15)))</f>
        <v>918.80854287755415</v>
      </c>
      <c r="E3" s="11">
        <f t="shared" ref="E3:E10" si="3">($J$2-D3)/(C3-D3)</f>
        <v>8.7074514890871577E-2</v>
      </c>
      <c r="F3" s="12">
        <f t="shared" ref="F3:F10" si="4">E3*C3/$J$2</f>
        <v>0.11676157304931338</v>
      </c>
    </row>
    <row r="4" spans="1:10" ht="16" x14ac:dyDescent="0.2">
      <c r="A4" s="13">
        <v>80.5</v>
      </c>
      <c r="B4" s="10">
        <f t="shared" si="0"/>
        <v>353.5</v>
      </c>
      <c r="C4" s="11">
        <f t="shared" si="1"/>
        <v>1254.9976383070484</v>
      </c>
      <c r="D4" s="11">
        <f t="shared" si="2"/>
        <v>904.76647786702051</v>
      </c>
      <c r="E4" s="11">
        <f t="shared" si="3"/>
        <v>0.12827154408334168</v>
      </c>
      <c r="F4" s="12">
        <f t="shared" si="4"/>
        <v>0.1695082465112602</v>
      </c>
    </row>
    <row r="5" spans="1:10" ht="16" x14ac:dyDescent="0.2">
      <c r="A5" s="13">
        <v>80.900000000000006</v>
      </c>
      <c r="B5" s="10">
        <f t="shared" si="0"/>
        <v>353.9</v>
      </c>
      <c r="C5" s="11">
        <f t="shared" si="1"/>
        <v>1269.7647841028902</v>
      </c>
      <c r="D5" s="11">
        <f t="shared" si="2"/>
        <v>915.98651787664448</v>
      </c>
      <c r="E5" s="11">
        <f t="shared" si="3"/>
        <v>9.5270554875082208E-2</v>
      </c>
      <c r="F5" s="12">
        <f t="shared" si="4"/>
        <v>0.12737950969147277</v>
      </c>
    </row>
    <row r="6" spans="1:10" ht="16" x14ac:dyDescent="0.2">
      <c r="A6" s="13">
        <v>81.099999999999994</v>
      </c>
      <c r="B6" s="10">
        <f t="shared" si="0"/>
        <v>354.1</v>
      </c>
      <c r="C6" s="11">
        <f t="shared" si="1"/>
        <v>1277.1985945889164</v>
      </c>
      <c r="D6" s="11">
        <f t="shared" si="2"/>
        <v>921.63739665257935</v>
      </c>
      <c r="E6" s="11">
        <f t="shared" si="3"/>
        <v>7.8899984343080973E-2</v>
      </c>
      <c r="F6" s="12">
        <f t="shared" si="4"/>
        <v>0.10610917774271922</v>
      </c>
    </row>
    <row r="7" spans="1:10" ht="16" x14ac:dyDescent="0.2">
      <c r="A7" s="13">
        <v>81.150000000000006</v>
      </c>
      <c r="B7" s="10">
        <f t="shared" si="0"/>
        <v>354.15</v>
      </c>
      <c r="C7" s="11">
        <f t="shared" si="1"/>
        <v>1279.0622973505999</v>
      </c>
      <c r="D7" s="11">
        <f t="shared" si="2"/>
        <v>923.05438789305231</v>
      </c>
      <c r="E7" s="11">
        <f t="shared" si="3"/>
        <v>7.4820758196911571E-2</v>
      </c>
      <c r="F7" s="12">
        <f t="shared" si="4"/>
        <v>0.10077003338768011</v>
      </c>
    </row>
    <row r="8" spans="1:10" ht="16" x14ac:dyDescent="0.2">
      <c r="A8" s="13">
        <v>81.19</v>
      </c>
      <c r="B8" s="10">
        <f t="shared" si="0"/>
        <v>354.19</v>
      </c>
      <c r="C8" s="11">
        <f t="shared" si="1"/>
        <v>1280.554773794054</v>
      </c>
      <c r="D8" s="11">
        <f t="shared" si="2"/>
        <v>924.1892130751836</v>
      </c>
      <c r="E8" s="11">
        <f t="shared" si="3"/>
        <v>7.1561226276008874E-2</v>
      </c>
      <c r="F8" s="12">
        <f t="shared" si="4"/>
        <v>9.6492494464942735E-2</v>
      </c>
    </row>
    <row r="9" spans="1:10" ht="16" x14ac:dyDescent="0.2">
      <c r="A9" s="13">
        <v>81.2</v>
      </c>
      <c r="B9" s="10">
        <f t="shared" si="0"/>
        <v>354.2</v>
      </c>
      <c r="C9" s="11">
        <f t="shared" si="1"/>
        <v>1280.9281033203131</v>
      </c>
      <c r="D9" s="11">
        <f t="shared" si="2"/>
        <v>924.47309060326882</v>
      </c>
      <c r="E9" s="11">
        <f t="shared" si="3"/>
        <v>7.0746877164869285E-2</v>
      </c>
      <c r="F9" s="12">
        <f t="shared" si="4"/>
        <v>9.5422244707757342E-2</v>
      </c>
    </row>
    <row r="10" spans="1:10" ht="16" x14ac:dyDescent="0.2">
      <c r="A10" s="13">
        <v>81.3</v>
      </c>
      <c r="B10" s="10">
        <f t="shared" si="0"/>
        <v>354.3</v>
      </c>
      <c r="C10" s="11">
        <f t="shared" si="1"/>
        <v>1284.6660311908729</v>
      </c>
      <c r="D10" s="11">
        <f t="shared" si="2"/>
        <v>927.31563613927199</v>
      </c>
      <c r="E10" s="11">
        <f t="shared" si="3"/>
        <v>6.2615107673969356E-2</v>
      </c>
      <c r="F10" s="12">
        <f t="shared" si="4"/>
        <v>8.4700694755068209E-2</v>
      </c>
    </row>
    <row r="11" spans="1:10" ht="16" x14ac:dyDescent="0.2">
      <c r="A11" s="13">
        <v>81.400000000000006</v>
      </c>
      <c r="B11" s="10">
        <f t="shared" si="0"/>
        <v>354.4</v>
      </c>
      <c r="C11" s="11">
        <f t="shared" si="1"/>
        <v>1288.4123908186436</v>
      </c>
      <c r="D11" s="11">
        <f t="shared" ref="D11" si="5">EXP(16.1668-(2839.09/(B11-50.15)))</f>
        <v>930.16504467831226</v>
      </c>
      <c r="E11" s="11">
        <f t="shared" ref="E11" si="6">($J$2-D11)/(C11-D11)</f>
        <v>5.450459057079101E-2</v>
      </c>
      <c r="F11" s="12">
        <f t="shared" ref="F11" si="7">E11*C11/$J$2</f>
        <v>7.3944448569820423E-2</v>
      </c>
    </row>
    <row r="12" spans="1:10" ht="16" x14ac:dyDescent="0.2">
      <c r="A12" s="13">
        <v>81.5</v>
      </c>
      <c r="B12" s="10">
        <f t="shared" si="0"/>
        <v>354.5</v>
      </c>
      <c r="C12" s="11">
        <f t="shared" si="1"/>
        <v>1292.1671948279588</v>
      </c>
      <c r="D12" s="11">
        <f t="shared" ref="D12:D13" si="8">EXP(16.1668-(2839.09/(B12-50.15)))</f>
        <v>933.02132764619171</v>
      </c>
      <c r="E12" s="11">
        <f t="shared" ref="E12:E13" si="9">($J$2-D12)/(C12-D12)</f>
        <v>4.6415240936449352E-2</v>
      </c>
      <c r="F12" s="12">
        <f t="shared" ref="F12:F13" si="10">E12*C12/$J$2</f>
        <v>6.3153426711551344E-2</v>
      </c>
    </row>
    <row r="13" spans="1:10" ht="16" x14ac:dyDescent="0.2">
      <c r="A13" s="13">
        <v>81.7</v>
      </c>
      <c r="B13" s="10">
        <f t="shared" si="0"/>
        <v>354.7</v>
      </c>
      <c r="C13" s="11">
        <f t="shared" si="1"/>
        <v>1299.7021865198458</v>
      </c>
      <c r="D13" s="11">
        <f t="shared" si="8"/>
        <v>938.75456261193165</v>
      </c>
      <c r="E13" s="11">
        <f t="shared" si="9"/>
        <v>3.02997062909659E-2</v>
      </c>
      <c r="F13" s="12">
        <f t="shared" si="10"/>
        <v>4.1466737585598074E-2</v>
      </c>
    </row>
    <row r="14" spans="1:10" ht="16" x14ac:dyDescent="0.2">
      <c r="A14" s="13">
        <v>81.900000000000006</v>
      </c>
      <c r="B14" s="10">
        <f t="shared" ref="B14:B17" si="11">A14+273</f>
        <v>354.9</v>
      </c>
      <c r="C14" s="11">
        <f t="shared" ref="C14:C17" si="12">EXP(15.9888-(2676.98/(B14-51.15)))</f>
        <v>1307.2711073862049</v>
      </c>
      <c r="D14" s="11">
        <f t="shared" ref="D14:D16" si="13">EXP(16.1668-(2839.09/(B14-50.15)))</f>
        <v>944.51543260386336</v>
      </c>
      <c r="E14" s="11">
        <f t="shared" ref="E14:E17" si="14">($J$2-D14)/(C14-D14)</f>
        <v>1.4267831928489115E-2</v>
      </c>
      <c r="F14" s="12">
        <f t="shared" ref="F14:F17" si="15">E14*C14/$J$2</f>
        <v>1.9639989337752756E-2</v>
      </c>
    </row>
    <row r="15" spans="1:10" ht="16" x14ac:dyDescent="0.2">
      <c r="A15" s="13">
        <v>81.93</v>
      </c>
      <c r="B15" s="10">
        <f t="shared" si="11"/>
        <v>354.93</v>
      </c>
      <c r="C15" s="11">
        <f t="shared" si="12"/>
        <v>1308.4093781627646</v>
      </c>
      <c r="D15" s="11">
        <f t="shared" si="13"/>
        <v>945.38195228992458</v>
      </c>
      <c r="E15" s="11">
        <f t="shared" si="14"/>
        <v>1.187022523843226E-2</v>
      </c>
      <c r="F15" s="12">
        <f t="shared" si="15"/>
        <v>1.6353857464385457E-2</v>
      </c>
    </row>
    <row r="16" spans="1:10" ht="16" x14ac:dyDescent="0.2">
      <c r="A16" s="13">
        <v>81.94</v>
      </c>
      <c r="B16" s="10">
        <f t="shared" si="11"/>
        <v>354.94</v>
      </c>
      <c r="C16" s="11">
        <f t="shared" si="12"/>
        <v>1308.7889719659561</v>
      </c>
      <c r="D16" s="11">
        <f t="shared" si="13"/>
        <v>945.67093087236537</v>
      </c>
      <c r="E16" s="11">
        <f t="shared" si="14"/>
        <v>1.1071437591727665E-2</v>
      </c>
      <c r="F16" s="12">
        <f t="shared" si="15"/>
        <v>1.5257776304188904E-2</v>
      </c>
    </row>
    <row r="17" spans="1:6" ht="17" thickBot="1" x14ac:dyDescent="0.25">
      <c r="A17" s="14">
        <v>81.929000000000002</v>
      </c>
      <c r="B17" s="15">
        <f t="shared" si="11"/>
        <v>354.92899999999997</v>
      </c>
      <c r="C17" s="16">
        <f t="shared" si="12"/>
        <v>1308.3714234639201</v>
      </c>
      <c r="D17" s="16">
        <f>EXP(16.1668-(2839.09/(B17-50.15)))</f>
        <v>945.3530582461832</v>
      </c>
      <c r="E17" s="16">
        <f t="shared" si="14"/>
        <v>1.1950115399749236E-2</v>
      </c>
      <c r="F17" s="17">
        <f t="shared" si="15"/>
        <v>1.6463446219751526E-2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XFD1048576"/>
    </sheetView>
  </sheetViews>
  <sheetFormatPr baseColWidth="10" defaultRowHeight="15" x14ac:dyDescent="0.2"/>
  <cols>
    <col min="3" max="3" width="18.5" customWidth="1"/>
    <col min="4" max="4" width="17.83203125" customWidth="1"/>
    <col min="5" max="5" width="24.5" customWidth="1"/>
    <col min="6" max="6" width="18.33203125" customWidth="1"/>
    <col min="10" max="10" width="20.5" customWidth="1"/>
  </cols>
  <sheetData>
    <row r="1" spans="1:10" x14ac:dyDescent="0.2">
      <c r="B1" t="s">
        <v>4</v>
      </c>
      <c r="C1" t="s">
        <v>0</v>
      </c>
      <c r="D1" t="s">
        <v>1</v>
      </c>
      <c r="E1" t="s">
        <v>2</v>
      </c>
      <c r="F1" t="s">
        <v>3</v>
      </c>
      <c r="J1" t="s">
        <v>5</v>
      </c>
    </row>
    <row r="2" spans="1:10" x14ac:dyDescent="0.2">
      <c r="A2" s="1">
        <v>82.08</v>
      </c>
      <c r="B2">
        <f>A2+273</f>
        <v>355.08</v>
      </c>
      <c r="C2">
        <f>EXP(15.9888-(2676.98/(B2-51.15)))</f>
        <v>1314.1122292657208</v>
      </c>
      <c r="D2">
        <f>EXP(16.1668-(2839.09/(B2-50.15)))</f>
        <v>949.72391932790526</v>
      </c>
      <c r="E2">
        <f>($J$2-D2)/(C2-D2)</f>
        <v>-8.9875894063086073E-5</v>
      </c>
      <c r="F2">
        <f>E2*C2/$J$2</f>
        <v>-1.2436359869903135E-4</v>
      </c>
      <c r="J2">
        <f>760+25290.076*760/101325</f>
        <v>949.69116960276347</v>
      </c>
    </row>
    <row r="3" spans="1:10" x14ac:dyDescent="0.2">
      <c r="A3">
        <v>81</v>
      </c>
      <c r="B3">
        <f t="shared" ref="B3:B21" si="0">A3+273</f>
        <v>354</v>
      </c>
      <c r="C3">
        <f t="shared" ref="C3:C21" si="1">EXP(15.9888-(2676.98/(B3-51.15)))</f>
        <v>1273.4774923849247</v>
      </c>
      <c r="D3">
        <f t="shared" ref="D3:D21" si="2">EXP(16.1668-(2839.09/(B3-50.15)))</f>
        <v>918.80854287755415</v>
      </c>
      <c r="E3">
        <f t="shared" ref="E3:E21" si="3">($J$2-D3)/(C3-D3)</f>
        <v>8.7074514890871577E-2</v>
      </c>
      <c r="F3">
        <f t="shared" ref="F3:F21" si="4">E3*C3/$J$2</f>
        <v>0.11676157304931338</v>
      </c>
    </row>
    <row r="4" spans="1:10" x14ac:dyDescent="0.2">
      <c r="A4">
        <v>80.5</v>
      </c>
      <c r="B4">
        <f t="shared" si="0"/>
        <v>353.5</v>
      </c>
      <c r="C4">
        <f t="shared" si="1"/>
        <v>1254.9976383070484</v>
      </c>
      <c r="D4">
        <f t="shared" si="2"/>
        <v>904.76647786702051</v>
      </c>
      <c r="E4">
        <f t="shared" si="3"/>
        <v>0.12827154408334168</v>
      </c>
      <c r="F4">
        <f t="shared" si="4"/>
        <v>0.1695082465112602</v>
      </c>
    </row>
    <row r="5" spans="1:10" x14ac:dyDescent="0.2">
      <c r="A5">
        <v>80.900000000000006</v>
      </c>
      <c r="B5">
        <f t="shared" si="0"/>
        <v>353.9</v>
      </c>
      <c r="C5">
        <f t="shared" si="1"/>
        <v>1269.7647841028902</v>
      </c>
      <c r="D5">
        <f t="shared" si="2"/>
        <v>915.98651787664448</v>
      </c>
      <c r="E5">
        <f t="shared" si="3"/>
        <v>9.5270554875082208E-2</v>
      </c>
      <c r="F5">
        <f t="shared" si="4"/>
        <v>0.12737950969147277</v>
      </c>
    </row>
    <row r="6" spans="1:10" x14ac:dyDescent="0.2">
      <c r="A6">
        <v>81.099999999999994</v>
      </c>
      <c r="B6">
        <f t="shared" si="0"/>
        <v>354.1</v>
      </c>
      <c r="C6">
        <f t="shared" si="1"/>
        <v>1277.1985945889164</v>
      </c>
      <c r="D6">
        <f t="shared" si="2"/>
        <v>921.63739665257935</v>
      </c>
      <c r="E6">
        <f t="shared" si="3"/>
        <v>7.8899984343080973E-2</v>
      </c>
      <c r="F6">
        <f t="shared" si="4"/>
        <v>0.10610917774271922</v>
      </c>
    </row>
    <row r="7" spans="1:10" x14ac:dyDescent="0.2">
      <c r="A7">
        <v>81.150000000000006</v>
      </c>
      <c r="B7">
        <f t="shared" si="0"/>
        <v>354.15</v>
      </c>
      <c r="C7">
        <f t="shared" si="1"/>
        <v>1279.0622973505999</v>
      </c>
      <c r="D7">
        <f t="shared" si="2"/>
        <v>923.05438789305231</v>
      </c>
      <c r="E7">
        <f t="shared" si="3"/>
        <v>7.4820758196911571E-2</v>
      </c>
      <c r="F7">
        <f t="shared" si="4"/>
        <v>0.10077003338768011</v>
      </c>
    </row>
    <row r="8" spans="1:10" x14ac:dyDescent="0.2">
      <c r="A8">
        <v>81.19</v>
      </c>
      <c r="B8">
        <f t="shared" si="0"/>
        <v>354.19</v>
      </c>
      <c r="C8">
        <f t="shared" si="1"/>
        <v>1280.554773794054</v>
      </c>
      <c r="D8">
        <f t="shared" si="2"/>
        <v>924.1892130751836</v>
      </c>
      <c r="E8">
        <f t="shared" si="3"/>
        <v>7.1561226276008874E-2</v>
      </c>
      <c r="F8">
        <f t="shared" si="4"/>
        <v>9.6492494464942735E-2</v>
      </c>
    </row>
    <row r="9" spans="1:10" x14ac:dyDescent="0.2">
      <c r="A9">
        <v>81.2</v>
      </c>
      <c r="B9">
        <f t="shared" si="0"/>
        <v>354.2</v>
      </c>
      <c r="C9">
        <f t="shared" si="1"/>
        <v>1280.9281033203131</v>
      </c>
      <c r="D9">
        <f t="shared" si="2"/>
        <v>924.47309060326882</v>
      </c>
      <c r="E9">
        <f t="shared" si="3"/>
        <v>7.0746877164869285E-2</v>
      </c>
      <c r="F9">
        <f t="shared" si="4"/>
        <v>9.5422244707757342E-2</v>
      </c>
    </row>
    <row r="10" spans="1:10" x14ac:dyDescent="0.2">
      <c r="A10">
        <v>81.3</v>
      </c>
      <c r="B10">
        <f t="shared" si="0"/>
        <v>354.3</v>
      </c>
      <c r="C10">
        <f t="shared" si="1"/>
        <v>1284.6660311908729</v>
      </c>
      <c r="D10">
        <f t="shared" si="2"/>
        <v>927.31563613927199</v>
      </c>
      <c r="E10">
        <f t="shared" si="3"/>
        <v>6.2615107673969356E-2</v>
      </c>
      <c r="F10">
        <f t="shared" si="4"/>
        <v>8.4700694755068209E-2</v>
      </c>
    </row>
    <row r="11" spans="1:10" x14ac:dyDescent="0.2">
      <c r="A11">
        <v>81.400000000000006</v>
      </c>
      <c r="B11">
        <f t="shared" si="0"/>
        <v>354.4</v>
      </c>
      <c r="C11">
        <f t="shared" si="1"/>
        <v>1288.4123908186436</v>
      </c>
      <c r="D11">
        <f t="shared" si="2"/>
        <v>930.16504467831226</v>
      </c>
      <c r="E11">
        <f t="shared" si="3"/>
        <v>5.450459057079101E-2</v>
      </c>
      <c r="F11">
        <f t="shared" si="4"/>
        <v>7.3944448569820423E-2</v>
      </c>
    </row>
    <row r="12" spans="1:10" x14ac:dyDescent="0.2">
      <c r="A12">
        <v>81.5</v>
      </c>
      <c r="B12">
        <f t="shared" si="0"/>
        <v>354.5</v>
      </c>
      <c r="C12">
        <f t="shared" si="1"/>
        <v>1292.1671948279588</v>
      </c>
      <c r="D12">
        <f t="shared" si="2"/>
        <v>933.02132764619171</v>
      </c>
      <c r="E12">
        <f t="shared" si="3"/>
        <v>4.6415240936449352E-2</v>
      </c>
      <c r="F12">
        <f t="shared" si="4"/>
        <v>6.3153426711551344E-2</v>
      </c>
    </row>
    <row r="13" spans="1:10" x14ac:dyDescent="0.2">
      <c r="A13">
        <v>81.7</v>
      </c>
      <c r="B13">
        <f t="shared" si="0"/>
        <v>354.7</v>
      </c>
      <c r="C13">
        <f t="shared" si="1"/>
        <v>1299.7021865198458</v>
      </c>
      <c r="D13">
        <f t="shared" si="2"/>
        <v>938.75456261193165</v>
      </c>
      <c r="E13">
        <f t="shared" si="3"/>
        <v>3.02997062909659E-2</v>
      </c>
      <c r="F13">
        <f t="shared" si="4"/>
        <v>4.1466737585598074E-2</v>
      </c>
    </row>
    <row r="14" spans="1:10" x14ac:dyDescent="0.2">
      <c r="A14">
        <v>81.900000000000006</v>
      </c>
      <c r="B14">
        <f t="shared" si="0"/>
        <v>354.9</v>
      </c>
      <c r="C14">
        <f t="shared" si="1"/>
        <v>1307.2711073862049</v>
      </c>
      <c r="D14">
        <f t="shared" si="2"/>
        <v>944.51543260386336</v>
      </c>
      <c r="E14">
        <f t="shared" si="3"/>
        <v>1.4267831928489115E-2</v>
      </c>
      <c r="F14">
        <f t="shared" si="4"/>
        <v>1.9639989337752756E-2</v>
      </c>
    </row>
    <row r="15" spans="1:10" x14ac:dyDescent="0.2">
      <c r="A15">
        <v>81.93</v>
      </c>
      <c r="B15">
        <f t="shared" si="0"/>
        <v>354.93</v>
      </c>
      <c r="C15">
        <f t="shared" si="1"/>
        <v>1308.4093781627646</v>
      </c>
      <c r="D15">
        <f t="shared" si="2"/>
        <v>945.38195228992458</v>
      </c>
      <c r="E15">
        <f t="shared" si="3"/>
        <v>1.187022523843226E-2</v>
      </c>
      <c r="F15">
        <f t="shared" si="4"/>
        <v>1.6353857464385457E-2</v>
      </c>
    </row>
    <row r="16" spans="1:10" x14ac:dyDescent="0.2">
      <c r="A16">
        <v>81.94</v>
      </c>
      <c r="B16">
        <f t="shared" si="0"/>
        <v>354.94</v>
      </c>
      <c r="C16">
        <f t="shared" si="1"/>
        <v>1308.7889719659561</v>
      </c>
      <c r="D16">
        <f t="shared" si="2"/>
        <v>945.67093087236537</v>
      </c>
      <c r="E16">
        <f t="shared" si="3"/>
        <v>1.1071437591727665E-2</v>
      </c>
      <c r="F16">
        <f t="shared" si="4"/>
        <v>1.5257776304188904E-2</v>
      </c>
    </row>
    <row r="17" spans="1:6" s="1" customFormat="1" x14ac:dyDescent="0.2">
      <c r="A17" s="1">
        <v>81.929000000000002</v>
      </c>
      <c r="B17" s="1">
        <f t="shared" si="0"/>
        <v>354.92899999999997</v>
      </c>
      <c r="C17" s="1">
        <f t="shared" si="1"/>
        <v>1308.3714234639201</v>
      </c>
      <c r="D17" s="1">
        <f t="shared" si="2"/>
        <v>945.3530582461832</v>
      </c>
      <c r="E17" s="1">
        <f t="shared" si="3"/>
        <v>1.1950115399749236E-2</v>
      </c>
      <c r="F17" s="1">
        <f t="shared" si="4"/>
        <v>1.6463446219751526E-2</v>
      </c>
    </row>
    <row r="18" spans="1:6" x14ac:dyDescent="0.2">
      <c r="A18">
        <v>82.7</v>
      </c>
      <c r="B18">
        <f t="shared" si="0"/>
        <v>355.7</v>
      </c>
      <c r="C18">
        <f t="shared" si="1"/>
        <v>1337.8881084633183</v>
      </c>
      <c r="D18">
        <f t="shared" si="2"/>
        <v>967.83709866750132</v>
      </c>
      <c r="E18">
        <f t="shared" si="3"/>
        <v>-4.9036291171723145E-2</v>
      </c>
      <c r="F18">
        <f t="shared" si="4"/>
        <v>-6.9080426291880187E-2</v>
      </c>
    </row>
    <row r="19" spans="1:6" x14ac:dyDescent="0.2">
      <c r="A19">
        <v>83.7</v>
      </c>
      <c r="B19">
        <f t="shared" si="0"/>
        <v>356.7</v>
      </c>
      <c r="C19">
        <f t="shared" si="1"/>
        <v>1376.9349416712305</v>
      </c>
      <c r="D19">
        <f t="shared" si="2"/>
        <v>997.62201059915969</v>
      </c>
      <c r="E19">
        <f t="shared" si="3"/>
        <v>-0.12636226468980885</v>
      </c>
      <c r="F19">
        <f t="shared" si="4"/>
        <v>-0.18320968239905203</v>
      </c>
    </row>
    <row r="20" spans="1:6" x14ac:dyDescent="0.2">
      <c r="A20">
        <v>84.7</v>
      </c>
      <c r="B20">
        <f t="shared" si="0"/>
        <v>357.7</v>
      </c>
      <c r="C20">
        <f t="shared" si="1"/>
        <v>1416.8554237906192</v>
      </c>
      <c r="D20">
        <f t="shared" si="2"/>
        <v>1028.1208713201352</v>
      </c>
      <c r="E20">
        <f t="shared" si="3"/>
        <v>-0.20175644593189782</v>
      </c>
      <c r="F20">
        <f t="shared" si="4"/>
        <v>-0.30100281423370245</v>
      </c>
    </row>
    <row r="21" spans="1:6" x14ac:dyDescent="0.2">
      <c r="A21">
        <v>85.7</v>
      </c>
      <c r="B21">
        <f t="shared" si="0"/>
        <v>358.7</v>
      </c>
      <c r="C21">
        <f t="shared" si="1"/>
        <v>1457.6623516992922</v>
      </c>
      <c r="D21">
        <f t="shared" si="2"/>
        <v>1059.3453317009651</v>
      </c>
      <c r="E21">
        <f t="shared" si="3"/>
        <v>-0.27529368968130491</v>
      </c>
      <c r="F21">
        <f t="shared" si="4"/>
        <v>-0.4225428854694685</v>
      </c>
    </row>
  </sheetData>
  <pageMargins left="0.7" right="0.7" top="0.75" bottom="0.75" header="0.3" footer="0.3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workbookViewId="0">
      <selection activeCell="I1" sqref="I1"/>
    </sheetView>
  </sheetViews>
  <sheetFormatPr baseColWidth="10" defaultRowHeight="15" x14ac:dyDescent="0.2"/>
  <cols>
    <col min="1" max="1" width="16.33203125" customWidth="1"/>
    <col min="2" max="2" width="11.83203125" bestFit="1" customWidth="1"/>
    <col min="6" max="6" width="16.5" customWidth="1"/>
    <col min="7" max="7" width="17.1640625" customWidth="1"/>
    <col min="8" max="8" width="14.6640625" customWidth="1"/>
    <col min="18" max="18" width="22.6640625" customWidth="1"/>
    <col min="19" max="19" width="16.33203125" customWidth="1"/>
    <col min="20" max="20" width="8.6640625" customWidth="1"/>
    <col min="22" max="22" width="12" customWidth="1"/>
    <col min="23" max="23" width="24.5" customWidth="1"/>
    <col min="25" max="25" width="15.33203125" customWidth="1"/>
    <col min="27" max="27" width="12.83203125" customWidth="1"/>
    <col min="28" max="28" width="28.6640625" customWidth="1"/>
    <col min="29" max="29" width="31.33203125" customWidth="1"/>
    <col min="30" max="30" width="29.5" customWidth="1"/>
    <col min="31" max="31" width="23.1640625" customWidth="1"/>
  </cols>
  <sheetData>
    <row r="1" spans="1:31" x14ac:dyDescent="0.2">
      <c r="B1" t="s">
        <v>4</v>
      </c>
      <c r="C1" t="s">
        <v>0</v>
      </c>
      <c r="D1" t="s">
        <v>1</v>
      </c>
      <c r="E1" t="s">
        <v>2</v>
      </c>
      <c r="F1" t="s">
        <v>3</v>
      </c>
      <c r="G1" t="s">
        <v>6</v>
      </c>
      <c r="H1" s="2" t="s">
        <v>7</v>
      </c>
      <c r="I1" t="s">
        <v>11</v>
      </c>
      <c r="J1" t="s">
        <v>5</v>
      </c>
      <c r="L1" t="s">
        <v>8</v>
      </c>
      <c r="M1" t="s">
        <v>9</v>
      </c>
      <c r="N1" t="s">
        <v>14</v>
      </c>
      <c r="Q1" t="s">
        <v>15</v>
      </c>
      <c r="R1" t="s">
        <v>16</v>
      </c>
      <c r="S1" t="s">
        <v>17</v>
      </c>
      <c r="U1" t="s">
        <v>21</v>
      </c>
      <c r="W1" t="s">
        <v>18</v>
      </c>
      <c r="X1" t="s">
        <v>19</v>
      </c>
      <c r="Z1" t="s">
        <v>20</v>
      </c>
      <c r="AB1" t="s">
        <v>22</v>
      </c>
      <c r="AC1" t="s">
        <v>23</v>
      </c>
      <c r="AD1" t="s">
        <v>24</v>
      </c>
      <c r="AE1" t="s">
        <v>25</v>
      </c>
    </row>
    <row r="2" spans="1:31" x14ac:dyDescent="0.2">
      <c r="A2" s="1">
        <v>88.74</v>
      </c>
      <c r="B2">
        <f>A2+273</f>
        <v>361.74</v>
      </c>
      <c r="C2">
        <f>EXP(15.9888-(2676.98/(B2-51.15)))</f>
        <v>1587.2918082213068</v>
      </c>
      <c r="D2">
        <f>EXP(16.1668-(2839.09/(B2-50.15)))</f>
        <v>1158.8448390516739</v>
      </c>
      <c r="E2">
        <f>($J$2-D2)/(C2-D2)</f>
        <v>4.0465017556094348E-5</v>
      </c>
      <c r="F2">
        <f>E2*C2/$J$2</f>
        <v>5.542487468080959E-5</v>
      </c>
      <c r="G2">
        <f>C2/D2</f>
        <v>1.3697190121847953</v>
      </c>
      <c r="J2">
        <f>760+1519.35*35*760/101325</f>
        <v>1158.8621761658032</v>
      </c>
      <c r="N2">
        <f>51-32.5*LOG10(L14*M14)</f>
        <v>63.644618475678783</v>
      </c>
      <c r="Q2">
        <f>(22/N2)*100</f>
        <v>34.566944585278804</v>
      </c>
      <c r="R2">
        <f>9.7941</f>
        <v>9.7941000000000003</v>
      </c>
      <c r="S2" s="33">
        <v>10.122</v>
      </c>
      <c r="T2" s="33"/>
      <c r="U2" s="33">
        <f>0.012*R2+(1-0.012)*S2*72.107</f>
        <v>721.22617855200008</v>
      </c>
      <c r="V2" s="33"/>
      <c r="W2">
        <v>5.3580000000000003E-2</v>
      </c>
      <c r="X2" s="33">
        <v>5.3710000000000001E-2</v>
      </c>
      <c r="Y2" s="33"/>
      <c r="Z2" s="33">
        <f>F14*W2+(1-F14)*X2*72.107</f>
        <v>3.8107351877680111</v>
      </c>
      <c r="AA2" s="33"/>
      <c r="AB2" s="3">
        <v>12.9994</v>
      </c>
      <c r="AC2">
        <v>17.3246</v>
      </c>
      <c r="AD2">
        <f>(F14*AB2+(1-F14)*AC2)*0.001</f>
        <v>1.725423807469283E-2</v>
      </c>
      <c r="AE2">
        <v>1.5789999999999998E-2</v>
      </c>
    </row>
    <row r="3" spans="1:31" x14ac:dyDescent="0.2">
      <c r="A3">
        <v>88.12</v>
      </c>
      <c r="B3">
        <f t="shared" ref="B3:B14" si="0">A3+273</f>
        <v>361.12</v>
      </c>
      <c r="C3">
        <f t="shared" ref="C3:C14" si="1">EXP(15.9888-(2676.98/(B3-51.15)))</f>
        <v>1560.161902537996</v>
      </c>
      <c r="D3">
        <f t="shared" ref="D3:D14" si="2">EXP(16.1668-(2839.09/(B3-50.15)))</f>
        <v>1137.9828686893482</v>
      </c>
      <c r="E3">
        <f t="shared" ref="E3:E14" si="3">($J$2-D3)/(C3-D3)</f>
        <v>4.9456050164585812E-2</v>
      </c>
      <c r="F3">
        <f t="shared" ref="F3:F14" si="4">E3*C3/$J$2</f>
        <v>6.6582072401468434E-2</v>
      </c>
      <c r="G3">
        <f t="shared" ref="G3:G14" si="5">C3/D3</f>
        <v>1.370988918607259</v>
      </c>
    </row>
    <row r="4" spans="1:31" x14ac:dyDescent="0.2">
      <c r="A4">
        <v>88.13</v>
      </c>
      <c r="B4">
        <f t="shared" si="0"/>
        <v>361.13</v>
      </c>
      <c r="C4">
        <f t="shared" si="1"/>
        <v>1560.5966348872985</v>
      </c>
      <c r="D4">
        <f t="shared" si="2"/>
        <v>1138.3170080853502</v>
      </c>
      <c r="E4">
        <f t="shared" si="3"/>
        <v>4.8652993837396047E-2</v>
      </c>
      <c r="F4">
        <f t="shared" si="4"/>
        <v>6.5519179089135654E-2</v>
      </c>
      <c r="G4">
        <f t="shared" si="5"/>
        <v>1.3709683891240656</v>
      </c>
    </row>
    <row r="5" spans="1:31" x14ac:dyDescent="0.2">
      <c r="A5">
        <v>88.15</v>
      </c>
      <c r="B5">
        <f t="shared" si="0"/>
        <v>361.15</v>
      </c>
      <c r="C5">
        <f t="shared" si="1"/>
        <v>1561.46637882814</v>
      </c>
      <c r="D5">
        <f t="shared" si="2"/>
        <v>1138.9855167289572</v>
      </c>
      <c r="E5">
        <f t="shared" si="3"/>
        <v>4.7047478880072234E-2</v>
      </c>
      <c r="F5">
        <f t="shared" si="4"/>
        <v>6.3392401608031362E-2</v>
      </c>
      <c r="G5">
        <f t="shared" si="5"/>
        <v>1.3709273348027304</v>
      </c>
    </row>
    <row r="6" spans="1:31" x14ac:dyDescent="0.2">
      <c r="A6">
        <v>88.2</v>
      </c>
      <c r="B6">
        <f t="shared" si="0"/>
        <v>361.2</v>
      </c>
      <c r="C6">
        <f t="shared" si="1"/>
        <v>1563.6423682007289</v>
      </c>
      <c r="D6">
        <f t="shared" si="2"/>
        <v>1140.6581296965292</v>
      </c>
      <c r="E6">
        <f t="shared" si="3"/>
        <v>4.3037174466947291E-2</v>
      </c>
      <c r="F6">
        <f t="shared" si="4"/>
        <v>5.8069674537843625E-2</v>
      </c>
      <c r="G6">
        <f t="shared" si="5"/>
        <v>1.3708247260875037</v>
      </c>
    </row>
    <row r="7" spans="1:31" x14ac:dyDescent="0.2">
      <c r="A7">
        <v>88.4</v>
      </c>
      <c r="B7">
        <f t="shared" si="0"/>
        <v>361.4</v>
      </c>
      <c r="C7">
        <f t="shared" si="1"/>
        <v>1572.36963385012</v>
      </c>
      <c r="D7">
        <f t="shared" si="2"/>
        <v>1147.3677707249713</v>
      </c>
      <c r="E7">
        <f t="shared" si="3"/>
        <v>2.7045541297891398E-2</v>
      </c>
      <c r="F7">
        <f t="shared" si="4"/>
        <v>3.6695983994009897E-2</v>
      </c>
      <c r="G7">
        <f t="shared" si="5"/>
        <v>1.370414677812162</v>
      </c>
    </row>
    <row r="8" spans="1:31" x14ac:dyDescent="0.2">
      <c r="A8">
        <v>88.5</v>
      </c>
      <c r="B8">
        <f t="shared" si="0"/>
        <v>361.5</v>
      </c>
      <c r="C8">
        <f t="shared" si="1"/>
        <v>1576.7472743637386</v>
      </c>
      <c r="D8">
        <f t="shared" si="2"/>
        <v>1150.7341256626696</v>
      </c>
      <c r="E8">
        <f t="shared" si="3"/>
        <v>1.9079341865189808E-2</v>
      </c>
      <c r="F8">
        <f t="shared" si="4"/>
        <v>2.5959342621851053E-2</v>
      </c>
      <c r="G8">
        <f t="shared" si="5"/>
        <v>1.3702098853249374</v>
      </c>
    </row>
    <row r="9" spans="1:31" x14ac:dyDescent="0.2">
      <c r="A9">
        <v>88.6</v>
      </c>
      <c r="B9">
        <f t="shared" si="0"/>
        <v>361.6</v>
      </c>
      <c r="C9">
        <f t="shared" si="1"/>
        <v>1581.13427071094</v>
      </c>
      <c r="D9">
        <f t="shared" si="2"/>
        <v>1154.1081861724649</v>
      </c>
      <c r="E9">
        <f t="shared" si="3"/>
        <v>1.113278594790385E-2</v>
      </c>
      <c r="F9">
        <f t="shared" si="4"/>
        <v>1.5189407120835654E-2</v>
      </c>
      <c r="G9">
        <f t="shared" si="5"/>
        <v>1.370005247042466</v>
      </c>
    </row>
    <row r="10" spans="1:31" x14ac:dyDescent="0.2">
      <c r="A10">
        <v>88.53</v>
      </c>
      <c r="B10">
        <f t="shared" si="0"/>
        <v>361.53</v>
      </c>
      <c r="C10">
        <f t="shared" si="1"/>
        <v>1578.0623903122782</v>
      </c>
      <c r="D10">
        <f t="shared" si="2"/>
        <v>1151.7455341857515</v>
      </c>
      <c r="E10">
        <f t="shared" si="3"/>
        <v>1.6693315963888677E-2</v>
      </c>
      <c r="F10">
        <f t="shared" si="4"/>
        <v>2.2731861160030873E-2</v>
      </c>
      <c r="G10">
        <f t="shared" si="5"/>
        <v>1.3701484776564987</v>
      </c>
    </row>
    <row r="11" spans="1:31" x14ac:dyDescent="0.2">
      <c r="A11">
        <v>88.54</v>
      </c>
      <c r="B11">
        <f t="shared" si="0"/>
        <v>361.54</v>
      </c>
      <c r="C11">
        <f t="shared" si="1"/>
        <v>1578.5009494726191</v>
      </c>
      <c r="D11">
        <f t="shared" si="2"/>
        <v>1152.0828245274204</v>
      </c>
      <c r="E11">
        <f t="shared" si="3"/>
        <v>1.5898366513510953E-2</v>
      </c>
      <c r="F11">
        <f t="shared" si="4"/>
        <v>2.1655367784693492E-2</v>
      </c>
      <c r="G11">
        <f t="shared" si="5"/>
        <v>1.3701280115169789</v>
      </c>
    </row>
    <row r="12" spans="1:31" x14ac:dyDescent="0.2">
      <c r="A12">
        <v>88.55</v>
      </c>
      <c r="B12">
        <f t="shared" si="0"/>
        <v>361.55</v>
      </c>
      <c r="C12">
        <f t="shared" si="1"/>
        <v>1578.9396022434369</v>
      </c>
      <c r="D12">
        <f t="shared" si="2"/>
        <v>1152.4201919727013</v>
      </c>
      <c r="E12">
        <f t="shared" si="3"/>
        <v>1.5103613195499899E-2</v>
      </c>
      <c r="F12">
        <f t="shared" si="4"/>
        <v>2.0578541177557034E-2</v>
      </c>
      <c r="G12">
        <f t="shared" si="5"/>
        <v>1.3701075469188229</v>
      </c>
    </row>
    <row r="13" spans="1:31" x14ac:dyDescent="0.2">
      <c r="A13">
        <v>88.57</v>
      </c>
      <c r="B13">
        <f t="shared" si="0"/>
        <v>361.57</v>
      </c>
      <c r="C13">
        <f t="shared" si="1"/>
        <v>1579.8171886686382</v>
      </c>
      <c r="D13">
        <f t="shared" si="2"/>
        <v>1153.0951582220011</v>
      </c>
      <c r="E13">
        <f t="shared" si="3"/>
        <v>1.3514694654423955E-2</v>
      </c>
      <c r="F13">
        <f t="shared" si="4"/>
        <v>1.84238879771777E-2</v>
      </c>
      <c r="G13">
        <f t="shared" si="5"/>
        <v>1.3700666223459086</v>
      </c>
    </row>
    <row r="14" spans="1:31" x14ac:dyDescent="0.2">
      <c r="A14" s="1">
        <v>88.59</v>
      </c>
      <c r="B14" s="1">
        <f t="shared" si="0"/>
        <v>361.59000000000003</v>
      </c>
      <c r="C14" s="1">
        <f t="shared" si="1"/>
        <v>1580.6951496921888</v>
      </c>
      <c r="D14" s="1">
        <f t="shared" si="2"/>
        <v>1153.7704330294707</v>
      </c>
      <c r="E14" s="1">
        <f t="shared" si="3"/>
        <v>1.1926559736655252E-2</v>
      </c>
      <c r="F14" s="1">
        <f t="shared" si="4"/>
        <v>1.6267900977335749E-2</v>
      </c>
      <c r="G14" s="1">
        <f t="shared" si="5"/>
        <v>1.3700257039363855</v>
      </c>
      <c r="H14" s="1">
        <v>0.29137000000000002</v>
      </c>
      <c r="I14" s="1">
        <v>0.23089999999999999</v>
      </c>
      <c r="L14">
        <f>AVERAGE(H16,H17)</f>
        <v>0.29223647093003569</v>
      </c>
      <c r="M14">
        <f>AVERAGE(G14,H19)</f>
        <v>1.3970128519681926</v>
      </c>
    </row>
    <row r="16" spans="1:31" x14ac:dyDescent="0.2">
      <c r="G16" t="s">
        <v>12</v>
      </c>
      <c r="H16">
        <f>1/(E14/H14+(1-E14)/I14)</f>
        <v>0.23147294186007145</v>
      </c>
    </row>
    <row r="17" spans="1:8" x14ac:dyDescent="0.2">
      <c r="G17" t="s">
        <v>13</v>
      </c>
      <c r="H17">
        <v>0.35299999999999998</v>
      </c>
    </row>
    <row r="19" spans="1:8" x14ac:dyDescent="0.2">
      <c r="G19" t="s">
        <v>10</v>
      </c>
      <c r="H19">
        <v>1.4239999999999999</v>
      </c>
    </row>
    <row r="21" spans="1:8" x14ac:dyDescent="0.2">
      <c r="B21" t="s">
        <v>27</v>
      </c>
      <c r="C21" t="s">
        <v>28</v>
      </c>
      <c r="D21" t="s">
        <v>60</v>
      </c>
      <c r="E21" t="s">
        <v>53</v>
      </c>
      <c r="F21" t="s">
        <v>56</v>
      </c>
    </row>
    <row r="22" spans="1:8" x14ac:dyDescent="0.2">
      <c r="A22" t="s">
        <v>31</v>
      </c>
      <c r="B22">
        <v>2371.34</v>
      </c>
      <c r="C22">
        <v>2479.81</v>
      </c>
      <c r="D22">
        <v>12.34</v>
      </c>
      <c r="E22">
        <f>0.1*D22</f>
        <v>1.234</v>
      </c>
      <c r="F22">
        <v>0.83499999999999996</v>
      </c>
    </row>
    <row r="23" spans="1:8" x14ac:dyDescent="0.2">
      <c r="A23" t="s">
        <v>29</v>
      </c>
      <c r="B23">
        <v>2392.25</v>
      </c>
      <c r="C23">
        <v>2392.25</v>
      </c>
      <c r="E23">
        <f>0.09*D22</f>
        <v>1.1106</v>
      </c>
    </row>
    <row r="24" spans="1:8" x14ac:dyDescent="0.2">
      <c r="A24" t="s">
        <v>32</v>
      </c>
      <c r="B24">
        <v>737.32</v>
      </c>
      <c r="C24">
        <f>U2</f>
        <v>721.22617855200008</v>
      </c>
    </row>
    <row r="25" spans="1:8" x14ac:dyDescent="0.2">
      <c r="A25" t="s">
        <v>30</v>
      </c>
      <c r="B25">
        <v>2.69</v>
      </c>
      <c r="C25">
        <f>Z2</f>
        <v>3.8107351877680111</v>
      </c>
    </row>
    <row r="26" spans="1:8" ht="17" x14ac:dyDescent="0.25">
      <c r="A26" t="s">
        <v>26</v>
      </c>
      <c r="B26">
        <f>B22/B23*(B25/B24)^0.5</f>
        <v>5.9873603448605164E-2</v>
      </c>
      <c r="C26">
        <f>C22/C23*(C25/C24)^0.5</f>
        <v>7.5349519609944182E-2</v>
      </c>
    </row>
    <row r="27" spans="1:8" x14ac:dyDescent="0.2">
      <c r="A27" t="s">
        <v>33</v>
      </c>
      <c r="B27">
        <f>AE2</f>
        <v>1.5789999999999998E-2</v>
      </c>
      <c r="C27">
        <f>AD2</f>
        <v>1.725423807469283E-2</v>
      </c>
    </row>
    <row r="28" spans="1:8" x14ac:dyDescent="0.2">
      <c r="A28" t="s">
        <v>34</v>
      </c>
      <c r="B28">
        <v>9.2999999999999999E-2</v>
      </c>
      <c r="C28">
        <v>0.09</v>
      </c>
    </row>
    <row r="29" spans="1:8" x14ac:dyDescent="0.2">
      <c r="A29" t="s">
        <v>35</v>
      </c>
      <c r="B29">
        <f>B28*(B27/0.02)^0.2</f>
        <v>8.8706077469220351E-2</v>
      </c>
      <c r="C29">
        <f>C28*(C27/0.02)^0.2</f>
        <v>8.7380729788084227E-2</v>
      </c>
    </row>
    <row r="30" spans="1:8" x14ac:dyDescent="0.2">
      <c r="A30" t="s">
        <v>36</v>
      </c>
      <c r="B30">
        <f>B29*((B24-B25)/B25)^0.5</f>
        <v>1.4659243715886481</v>
      </c>
      <c r="C30">
        <f>C29*((C24-C25)/C25)^0.5</f>
        <v>1.1989377730515125</v>
      </c>
    </row>
    <row r="31" spans="1:8" ht="17" x14ac:dyDescent="0.25">
      <c r="A31" t="s">
        <v>37</v>
      </c>
      <c r="B31">
        <f>0.85*B30</f>
        <v>1.2460357158503508</v>
      </c>
      <c r="C31">
        <f>0.85*C30</f>
        <v>1.0190971070937855</v>
      </c>
    </row>
    <row r="32" spans="1:8" ht="17" x14ac:dyDescent="0.25">
      <c r="A32" t="s">
        <v>38</v>
      </c>
      <c r="B32">
        <f>(-0.171*0.25+0.27*0.5-0.047)*((B24-B25)/B25)</f>
        <v>12.357623605947955</v>
      </c>
      <c r="C32">
        <f>(-0.171*0.25+0.27*0.5-0.047)*((C24-C25)/C25)</f>
        <v>8.5188414341762382</v>
      </c>
    </row>
    <row r="33" spans="1:3" ht="17" x14ac:dyDescent="0.25">
      <c r="A33" t="s">
        <v>39</v>
      </c>
      <c r="B33">
        <f>(B23*72.107)/(B25*3600)</f>
        <v>17.812677690004133</v>
      </c>
      <c r="C33">
        <f>(C23*72.107)/(C25*3600)</f>
        <v>12.573978674749135</v>
      </c>
    </row>
    <row r="34" spans="1:3" x14ac:dyDescent="0.2">
      <c r="A34" t="s">
        <v>40</v>
      </c>
      <c r="B34">
        <f>B33/B31</f>
        <v>14.295479225367115</v>
      </c>
      <c r="C34">
        <f>C33/C31</f>
        <v>12.338351848144317</v>
      </c>
    </row>
    <row r="35" spans="1:3" x14ac:dyDescent="0.2">
      <c r="A35" t="s">
        <v>41</v>
      </c>
      <c r="B35">
        <f>B34/(1-0.12)</f>
        <v>16.244862756098996</v>
      </c>
      <c r="C35">
        <f>C34/(1-0.12)</f>
        <v>14.02085437289127</v>
      </c>
    </row>
    <row r="36" spans="1:3" x14ac:dyDescent="0.2">
      <c r="A36" t="s">
        <v>42</v>
      </c>
      <c r="B36">
        <f>(4*B35/3.1416)^0.5</f>
        <v>4.5479174676675704</v>
      </c>
      <c r="C36">
        <f>(4*C35/3.1416)^0.5</f>
        <v>4.2251466830292896</v>
      </c>
    </row>
    <row r="37" spans="1:3" x14ac:dyDescent="0.2">
      <c r="A37" t="s">
        <v>43</v>
      </c>
      <c r="B37">
        <v>4.5465999999999998</v>
      </c>
    </row>
    <row r="38" spans="1:3" ht="17" x14ac:dyDescent="0.25">
      <c r="A38" t="s">
        <v>44</v>
      </c>
      <c r="B38">
        <f>(B22*72.107)/(B24*3600)</f>
        <v>6.4418816110297358E-2</v>
      </c>
      <c r="C38">
        <f>(C22*72.107)/(C24*3600)</f>
        <v>6.8868694649452056E-2</v>
      </c>
    </row>
    <row r="39" spans="1:3" x14ac:dyDescent="0.2">
      <c r="A39" t="s">
        <v>46</v>
      </c>
      <c r="C39">
        <f>(C22*72.107)/(3600)</f>
        <v>49.669905463888888</v>
      </c>
    </row>
    <row r="40" spans="1:3" x14ac:dyDescent="0.2">
      <c r="A40" t="s">
        <v>45</v>
      </c>
      <c r="C40">
        <f>0.7*C39</f>
        <v>34.768933824722218</v>
      </c>
    </row>
    <row r="41" spans="1:3" ht="17" x14ac:dyDescent="0.25">
      <c r="A41" t="s">
        <v>47</v>
      </c>
      <c r="C41">
        <f>(C39/(C24*3.546))^(2/3)*750</f>
        <v>54.189691274572425</v>
      </c>
    </row>
    <row r="42" spans="1:3" ht="17" x14ac:dyDescent="0.25">
      <c r="A42" t="s">
        <v>48</v>
      </c>
      <c r="C42">
        <f>(C40/(C24*3.546))^(2/3)*750</f>
        <v>42.721717457916384</v>
      </c>
    </row>
    <row r="43" spans="1:3" x14ac:dyDescent="0.2">
      <c r="A43" t="s">
        <v>49</v>
      </c>
      <c r="C43">
        <f>50+C42</f>
        <v>92.721717457916384</v>
      </c>
    </row>
    <row r="44" spans="1:3" ht="17" x14ac:dyDescent="0.25">
      <c r="A44" s="4" t="s">
        <v>50</v>
      </c>
      <c r="C44">
        <f>(30.92-0.9*(25.4-5))/(B25)^0.5</f>
        <v>7.6579671562721376</v>
      </c>
    </row>
    <row r="45" spans="1:3" ht="17" x14ac:dyDescent="0.25">
      <c r="A45" s="4" t="s">
        <v>51</v>
      </c>
      <c r="C45">
        <f>0.7*$C$33/E22</f>
        <v>7.1327269629857328</v>
      </c>
    </row>
    <row r="46" spans="1:3" ht="17" x14ac:dyDescent="0.25">
      <c r="A46" s="4" t="s">
        <v>52</v>
      </c>
      <c r="C46">
        <f>0.7*$C$33/$E$23</f>
        <v>7.9252521810952583</v>
      </c>
    </row>
    <row r="47" spans="1:3" x14ac:dyDescent="0.2">
      <c r="A47" s="4" t="s">
        <v>54</v>
      </c>
      <c r="C47">
        <f>C33/E23</f>
        <v>11.321788830136084</v>
      </c>
    </row>
    <row r="48" spans="1:3" x14ac:dyDescent="0.2">
      <c r="A48" s="4" t="s">
        <v>55</v>
      </c>
      <c r="C48">
        <f>(51*(C47/F22)^2)*(C25/C24)</f>
        <v>49.540982346020051</v>
      </c>
    </row>
    <row r="49" spans="1:3" x14ac:dyDescent="0.2">
      <c r="A49" s="4" t="s">
        <v>57</v>
      </c>
      <c r="C49">
        <f>12500/C24</f>
        <v>17.331594958319659</v>
      </c>
    </row>
    <row r="50" spans="1:3" x14ac:dyDescent="0.2">
      <c r="A50" s="4" t="s">
        <v>58</v>
      </c>
      <c r="C50">
        <f>C48+(50+C42)+C49</f>
        <v>159.59429476225611</v>
      </c>
    </row>
    <row r="51" spans="1:3" x14ac:dyDescent="0.2">
      <c r="A51" s="4" t="s">
        <v>59</v>
      </c>
      <c r="C51">
        <f>(3.1416/4)*B37^2</f>
        <v>16.235452303223997</v>
      </c>
    </row>
    <row r="52" spans="1:3" x14ac:dyDescent="0.2">
      <c r="A52" s="4" t="s">
        <v>61</v>
      </c>
      <c r="C52">
        <f>(50-5)*0.001</f>
        <v>4.4999999999999998E-2</v>
      </c>
    </row>
    <row r="53" spans="1:3" x14ac:dyDescent="0.2">
      <c r="A53" s="4" t="s">
        <v>64</v>
      </c>
      <c r="C53">
        <f>C52*3.546</f>
        <v>0.15956999999999999</v>
      </c>
    </row>
    <row r="54" spans="1:3" x14ac:dyDescent="0.2">
      <c r="A54" s="4" t="s">
        <v>63</v>
      </c>
      <c r="C54">
        <f>166*(C39/(C24*C53))^2</f>
        <v>30.920698827063376</v>
      </c>
    </row>
    <row r="55" spans="1:3" x14ac:dyDescent="0.2">
      <c r="A55" s="4" t="s">
        <v>62</v>
      </c>
      <c r="C55">
        <f>C43+C50+C54</f>
        <v>283.23671104723587</v>
      </c>
    </row>
  </sheetData>
  <mergeCells count="4">
    <mergeCell ref="S2:T2"/>
    <mergeCell ref="U2:V2"/>
    <mergeCell ref="X2:Y2"/>
    <mergeCell ref="Z2:AA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topLeftCell="A4" workbookViewId="0">
      <selection activeCell="B30" sqref="B30"/>
    </sheetView>
  </sheetViews>
  <sheetFormatPr baseColWidth="10" defaultRowHeight="15" x14ac:dyDescent="0.2"/>
  <cols>
    <col min="1" max="1" width="16.33203125" customWidth="1"/>
    <col min="2" max="2" width="11.83203125" bestFit="1" customWidth="1"/>
    <col min="6" max="6" width="16.5" customWidth="1"/>
    <col min="7" max="7" width="17.1640625" customWidth="1"/>
    <col min="8" max="8" width="14.6640625" customWidth="1"/>
    <col min="18" max="18" width="22.6640625" customWidth="1"/>
    <col min="19" max="19" width="16.33203125" customWidth="1"/>
    <col min="20" max="20" width="8.6640625" customWidth="1"/>
    <col min="22" max="22" width="12" customWidth="1"/>
    <col min="23" max="23" width="24.5" customWidth="1"/>
    <col min="25" max="25" width="15.33203125" customWidth="1"/>
    <col min="27" max="27" width="12.83203125" customWidth="1"/>
    <col min="28" max="28" width="28.6640625" customWidth="1"/>
    <col min="29" max="29" width="31.33203125" customWidth="1"/>
    <col min="30" max="30" width="29.5" customWidth="1"/>
    <col min="31" max="31" width="23.1640625" customWidth="1"/>
  </cols>
  <sheetData>
    <row r="1" spans="1:31" x14ac:dyDescent="0.2">
      <c r="B1" t="s">
        <v>4</v>
      </c>
      <c r="C1" t="s">
        <v>0</v>
      </c>
      <c r="D1" t="s">
        <v>1</v>
      </c>
      <c r="E1" t="s">
        <v>2</v>
      </c>
      <c r="F1" t="s">
        <v>3</v>
      </c>
      <c r="G1" t="s">
        <v>6</v>
      </c>
      <c r="H1" s="2" t="s">
        <v>7</v>
      </c>
      <c r="I1" t="s">
        <v>11</v>
      </c>
      <c r="J1" t="s">
        <v>5</v>
      </c>
      <c r="L1" t="s">
        <v>8</v>
      </c>
      <c r="M1" t="s">
        <v>9</v>
      </c>
      <c r="N1" t="s">
        <v>14</v>
      </c>
      <c r="Q1" t="s">
        <v>15</v>
      </c>
      <c r="R1" t="s">
        <v>16</v>
      </c>
      <c r="S1" t="s">
        <v>17</v>
      </c>
      <c r="U1" t="s">
        <v>21</v>
      </c>
      <c r="W1" t="s">
        <v>18</v>
      </c>
      <c r="X1" t="s">
        <v>19</v>
      </c>
      <c r="Z1" t="s">
        <v>20</v>
      </c>
      <c r="AB1" t="s">
        <v>22</v>
      </c>
      <c r="AC1" t="s">
        <v>23</v>
      </c>
      <c r="AD1" t="s">
        <v>24</v>
      </c>
      <c r="AE1" t="s">
        <v>25</v>
      </c>
    </row>
    <row r="2" spans="1:31" x14ac:dyDescent="0.2">
      <c r="A2" s="1">
        <v>88.74</v>
      </c>
      <c r="B2">
        <f>A2+273</f>
        <v>361.74</v>
      </c>
      <c r="C2">
        <f>EXP(15.9888-(2676.98/(B2-51.15)))</f>
        <v>1587.2918082213068</v>
      </c>
      <c r="D2">
        <f>EXP(16.1668-(2839.09/(B2-50.15)))</f>
        <v>1158.8448390516739</v>
      </c>
      <c r="E2">
        <f>($J$2-D2)/(C2-D2)</f>
        <v>4.0465017556094348E-5</v>
      </c>
      <c r="F2">
        <f>E2*C2/$J$2</f>
        <v>5.542487468080959E-5</v>
      </c>
      <c r="G2">
        <f>C2/D2</f>
        <v>1.3697190121847953</v>
      </c>
      <c r="J2">
        <f>760+1519.35*35*760/101325</f>
        <v>1158.8621761658032</v>
      </c>
      <c r="N2">
        <f>51-32.5*LOG10(L14*M14)</f>
        <v>63.644618475678783</v>
      </c>
      <c r="Q2">
        <f>(22/N2)*100</f>
        <v>34.566944585278804</v>
      </c>
      <c r="R2">
        <f>9.7941</f>
        <v>9.7941000000000003</v>
      </c>
      <c r="S2" s="33">
        <v>10.122</v>
      </c>
      <c r="T2" s="33"/>
      <c r="U2" s="33">
        <f>0.012*R2+(1-0.012)*S2*72.107</f>
        <v>721.22617855200008</v>
      </c>
      <c r="V2" s="33"/>
      <c r="W2">
        <v>5.3580000000000003E-2</v>
      </c>
      <c r="X2" s="33">
        <v>5.3710000000000001E-2</v>
      </c>
      <c r="Y2" s="33"/>
      <c r="Z2" s="33">
        <f>F14*W2+(1-F14)*X2*72.107</f>
        <v>3.8107351877680111</v>
      </c>
      <c r="AA2" s="33"/>
      <c r="AB2" s="3">
        <v>12.9994</v>
      </c>
      <c r="AC2">
        <v>17.3246</v>
      </c>
      <c r="AD2">
        <f>(F14*AB2+(1-F14)*AC2)*0.001</f>
        <v>1.725423807469283E-2</v>
      </c>
      <c r="AE2">
        <v>1.5789999999999998E-2</v>
      </c>
    </row>
    <row r="3" spans="1:31" x14ac:dyDescent="0.2">
      <c r="A3">
        <v>88.12</v>
      </c>
      <c r="B3">
        <f t="shared" ref="B3:B14" si="0">A3+273</f>
        <v>361.12</v>
      </c>
      <c r="C3">
        <f t="shared" ref="C3:C14" si="1">EXP(15.9888-(2676.98/(B3-51.15)))</f>
        <v>1560.161902537996</v>
      </c>
      <c r="D3">
        <f t="shared" ref="D3:D14" si="2">EXP(16.1668-(2839.09/(B3-50.15)))</f>
        <v>1137.9828686893482</v>
      </c>
      <c r="E3">
        <f t="shared" ref="E3:E14" si="3">($J$2-D3)/(C3-D3)</f>
        <v>4.9456050164585812E-2</v>
      </c>
      <c r="F3">
        <f t="shared" ref="F3:F14" si="4">E3*C3/$J$2</f>
        <v>6.6582072401468434E-2</v>
      </c>
      <c r="G3">
        <f t="shared" ref="G3:G14" si="5">C3/D3</f>
        <v>1.370988918607259</v>
      </c>
    </row>
    <row r="4" spans="1:31" x14ac:dyDescent="0.2">
      <c r="A4">
        <v>88.13</v>
      </c>
      <c r="B4">
        <f t="shared" si="0"/>
        <v>361.13</v>
      </c>
      <c r="C4">
        <f t="shared" si="1"/>
        <v>1560.5966348872985</v>
      </c>
      <c r="D4">
        <f t="shared" si="2"/>
        <v>1138.3170080853502</v>
      </c>
      <c r="E4">
        <f t="shared" si="3"/>
        <v>4.8652993837396047E-2</v>
      </c>
      <c r="F4">
        <f t="shared" si="4"/>
        <v>6.5519179089135654E-2</v>
      </c>
      <c r="G4">
        <f t="shared" si="5"/>
        <v>1.3709683891240656</v>
      </c>
    </row>
    <row r="5" spans="1:31" x14ac:dyDescent="0.2">
      <c r="A5">
        <v>88.15</v>
      </c>
      <c r="B5">
        <f t="shared" si="0"/>
        <v>361.15</v>
      </c>
      <c r="C5">
        <f t="shared" si="1"/>
        <v>1561.46637882814</v>
      </c>
      <c r="D5">
        <f t="shared" si="2"/>
        <v>1138.9855167289572</v>
      </c>
      <c r="E5">
        <f t="shared" si="3"/>
        <v>4.7047478880072234E-2</v>
      </c>
      <c r="F5">
        <f t="shared" si="4"/>
        <v>6.3392401608031362E-2</v>
      </c>
      <c r="G5">
        <f t="shared" si="5"/>
        <v>1.3709273348027304</v>
      </c>
    </row>
    <row r="6" spans="1:31" x14ac:dyDescent="0.2">
      <c r="A6">
        <v>88.2</v>
      </c>
      <c r="B6">
        <f t="shared" si="0"/>
        <v>361.2</v>
      </c>
      <c r="C6">
        <f t="shared" si="1"/>
        <v>1563.6423682007289</v>
      </c>
      <c r="D6">
        <f t="shared" si="2"/>
        <v>1140.6581296965292</v>
      </c>
      <c r="E6">
        <f t="shared" si="3"/>
        <v>4.3037174466947291E-2</v>
      </c>
      <c r="F6">
        <f t="shared" si="4"/>
        <v>5.8069674537843625E-2</v>
      </c>
      <c r="G6">
        <f t="shared" si="5"/>
        <v>1.3708247260875037</v>
      </c>
    </row>
    <row r="7" spans="1:31" x14ac:dyDescent="0.2">
      <c r="A7">
        <v>88.4</v>
      </c>
      <c r="B7">
        <f t="shared" si="0"/>
        <v>361.4</v>
      </c>
      <c r="C7">
        <f t="shared" si="1"/>
        <v>1572.36963385012</v>
      </c>
      <c r="D7">
        <f t="shared" si="2"/>
        <v>1147.3677707249713</v>
      </c>
      <c r="E7">
        <f t="shared" si="3"/>
        <v>2.7045541297891398E-2</v>
      </c>
      <c r="F7">
        <f t="shared" si="4"/>
        <v>3.6695983994009897E-2</v>
      </c>
      <c r="G7">
        <f t="shared" si="5"/>
        <v>1.370414677812162</v>
      </c>
    </row>
    <row r="8" spans="1:31" x14ac:dyDescent="0.2">
      <c r="A8">
        <v>88.5</v>
      </c>
      <c r="B8">
        <f t="shared" si="0"/>
        <v>361.5</v>
      </c>
      <c r="C8">
        <f t="shared" si="1"/>
        <v>1576.7472743637386</v>
      </c>
      <c r="D8">
        <f t="shared" si="2"/>
        <v>1150.7341256626696</v>
      </c>
      <c r="E8">
        <f t="shared" si="3"/>
        <v>1.9079341865189808E-2</v>
      </c>
      <c r="F8">
        <f t="shared" si="4"/>
        <v>2.5959342621851053E-2</v>
      </c>
      <c r="G8">
        <f t="shared" si="5"/>
        <v>1.3702098853249374</v>
      </c>
    </row>
    <row r="9" spans="1:31" x14ac:dyDescent="0.2">
      <c r="A9">
        <v>88.6</v>
      </c>
      <c r="B9">
        <f t="shared" si="0"/>
        <v>361.6</v>
      </c>
      <c r="C9">
        <f t="shared" si="1"/>
        <v>1581.13427071094</v>
      </c>
      <c r="D9">
        <f t="shared" si="2"/>
        <v>1154.1081861724649</v>
      </c>
      <c r="E9">
        <f t="shared" si="3"/>
        <v>1.113278594790385E-2</v>
      </c>
      <c r="F9">
        <f t="shared" si="4"/>
        <v>1.5189407120835654E-2</v>
      </c>
      <c r="G9">
        <f t="shared" si="5"/>
        <v>1.370005247042466</v>
      </c>
    </row>
    <row r="10" spans="1:31" x14ac:dyDescent="0.2">
      <c r="A10">
        <v>88.53</v>
      </c>
      <c r="B10">
        <f t="shared" si="0"/>
        <v>361.53</v>
      </c>
      <c r="C10">
        <f t="shared" si="1"/>
        <v>1578.0623903122782</v>
      </c>
      <c r="D10">
        <f t="shared" si="2"/>
        <v>1151.7455341857515</v>
      </c>
      <c r="E10">
        <f t="shared" si="3"/>
        <v>1.6693315963888677E-2</v>
      </c>
      <c r="F10">
        <f t="shared" si="4"/>
        <v>2.2731861160030873E-2</v>
      </c>
      <c r="G10">
        <f t="shared" si="5"/>
        <v>1.3701484776564987</v>
      </c>
    </row>
    <row r="11" spans="1:31" x14ac:dyDescent="0.2">
      <c r="A11">
        <v>88.54</v>
      </c>
      <c r="B11">
        <f t="shared" si="0"/>
        <v>361.54</v>
      </c>
      <c r="C11">
        <f t="shared" si="1"/>
        <v>1578.5009494726191</v>
      </c>
      <c r="D11">
        <f t="shared" si="2"/>
        <v>1152.0828245274204</v>
      </c>
      <c r="E11">
        <f t="shared" si="3"/>
        <v>1.5898366513510953E-2</v>
      </c>
      <c r="F11">
        <f t="shared" si="4"/>
        <v>2.1655367784693492E-2</v>
      </c>
      <c r="G11">
        <f t="shared" si="5"/>
        <v>1.3701280115169789</v>
      </c>
    </row>
    <row r="12" spans="1:31" x14ac:dyDescent="0.2">
      <c r="A12">
        <v>88.55</v>
      </c>
      <c r="B12">
        <f t="shared" si="0"/>
        <v>361.55</v>
      </c>
      <c r="C12">
        <f t="shared" si="1"/>
        <v>1578.9396022434369</v>
      </c>
      <c r="D12">
        <f t="shared" si="2"/>
        <v>1152.4201919727013</v>
      </c>
      <c r="E12">
        <f t="shared" si="3"/>
        <v>1.5103613195499899E-2</v>
      </c>
      <c r="F12">
        <f t="shared" si="4"/>
        <v>2.0578541177557034E-2</v>
      </c>
      <c r="G12">
        <f t="shared" si="5"/>
        <v>1.3701075469188229</v>
      </c>
    </row>
    <row r="13" spans="1:31" x14ac:dyDescent="0.2">
      <c r="A13">
        <v>88.57</v>
      </c>
      <c r="B13">
        <f t="shared" si="0"/>
        <v>361.57</v>
      </c>
      <c r="C13">
        <f t="shared" si="1"/>
        <v>1579.8171886686382</v>
      </c>
      <c r="D13">
        <f t="shared" si="2"/>
        <v>1153.0951582220011</v>
      </c>
      <c r="E13">
        <f t="shared" si="3"/>
        <v>1.3514694654423955E-2</v>
      </c>
      <c r="F13">
        <f t="shared" si="4"/>
        <v>1.84238879771777E-2</v>
      </c>
      <c r="G13">
        <f t="shared" si="5"/>
        <v>1.3700666223459086</v>
      </c>
    </row>
    <row r="14" spans="1:31" x14ac:dyDescent="0.2">
      <c r="A14" s="1">
        <v>88.59</v>
      </c>
      <c r="B14" s="1">
        <f t="shared" si="0"/>
        <v>361.59000000000003</v>
      </c>
      <c r="C14" s="1">
        <f t="shared" si="1"/>
        <v>1580.6951496921888</v>
      </c>
      <c r="D14" s="1">
        <f t="shared" si="2"/>
        <v>1153.7704330294707</v>
      </c>
      <c r="E14" s="1">
        <f t="shared" si="3"/>
        <v>1.1926559736655252E-2</v>
      </c>
      <c r="F14" s="1">
        <f t="shared" si="4"/>
        <v>1.6267900977335749E-2</v>
      </c>
      <c r="G14" s="1">
        <f t="shared" si="5"/>
        <v>1.3700257039363855</v>
      </c>
      <c r="H14" s="1">
        <v>0.29137000000000002</v>
      </c>
      <c r="I14" s="1">
        <v>0.23089999999999999</v>
      </c>
      <c r="L14">
        <f>AVERAGE(H16,H17)</f>
        <v>0.29223647093003569</v>
      </c>
      <c r="M14">
        <f>AVERAGE(G14,H19)</f>
        <v>1.3970128519681926</v>
      </c>
    </row>
    <row r="16" spans="1:31" x14ac:dyDescent="0.2">
      <c r="G16" t="s">
        <v>12</v>
      </c>
      <c r="H16">
        <f>1/(E14/H14+(1-E14)/I14)</f>
        <v>0.23147294186007145</v>
      </c>
    </row>
    <row r="17" spans="1:8" x14ac:dyDescent="0.2">
      <c r="G17" t="s">
        <v>13</v>
      </c>
      <c r="H17">
        <v>0.35299999999999998</v>
      </c>
    </row>
    <row r="19" spans="1:8" x14ac:dyDescent="0.2">
      <c r="G19" t="s">
        <v>10</v>
      </c>
      <c r="H19">
        <v>1.4239999999999999</v>
      </c>
    </row>
    <row r="21" spans="1:8" x14ac:dyDescent="0.2">
      <c r="B21" t="s">
        <v>27</v>
      </c>
      <c r="C21" t="s">
        <v>28</v>
      </c>
      <c r="F21" t="s">
        <v>56</v>
      </c>
      <c r="G21" t="s">
        <v>70</v>
      </c>
      <c r="H21" t="s">
        <v>71</v>
      </c>
    </row>
    <row r="22" spans="1:8" x14ac:dyDescent="0.2">
      <c r="A22" t="s">
        <v>31</v>
      </c>
      <c r="B22">
        <v>2371.34</v>
      </c>
      <c r="C22">
        <v>2479.81</v>
      </c>
      <c r="F22">
        <v>0.84199999999999997</v>
      </c>
      <c r="G22">
        <f>3.1416/4*(B39)^2</f>
        <v>10.073874948983999</v>
      </c>
      <c r="H22">
        <f>0.12*G22</f>
        <v>1.2088649938780798</v>
      </c>
    </row>
    <row r="23" spans="1:8" x14ac:dyDescent="0.2">
      <c r="A23" t="s">
        <v>29</v>
      </c>
      <c r="B23">
        <v>2392.25</v>
      </c>
      <c r="C23">
        <v>2392.25</v>
      </c>
    </row>
    <row r="24" spans="1:8" x14ac:dyDescent="0.2">
      <c r="A24" t="s">
        <v>32</v>
      </c>
      <c r="B24">
        <v>737.32</v>
      </c>
      <c r="C24">
        <f>U2</f>
        <v>721.22617855200008</v>
      </c>
    </row>
    <row r="25" spans="1:8" x14ac:dyDescent="0.2">
      <c r="A25" t="s">
        <v>30</v>
      </c>
      <c r="B25">
        <v>2.69</v>
      </c>
      <c r="C25">
        <f>Z2</f>
        <v>3.8107351877680111</v>
      </c>
    </row>
    <row r="26" spans="1:8" ht="17" x14ac:dyDescent="0.25">
      <c r="A26" t="s">
        <v>26</v>
      </c>
      <c r="B26">
        <f>B22/B23*(B25/B24)^0.5</f>
        <v>5.9873603448605164E-2</v>
      </c>
      <c r="C26">
        <f>C22/C23*(C25/C24)^0.5</f>
        <v>7.5349519609944182E-2</v>
      </c>
    </row>
    <row r="27" spans="1:8" x14ac:dyDescent="0.2">
      <c r="A27" t="s">
        <v>33</v>
      </c>
      <c r="B27">
        <f>AE2</f>
        <v>1.5789999999999998E-2</v>
      </c>
      <c r="C27">
        <f>AD2</f>
        <v>1.725423807469283E-2</v>
      </c>
    </row>
    <row r="28" spans="1:8" x14ac:dyDescent="0.2">
      <c r="A28" t="s">
        <v>34</v>
      </c>
      <c r="B28">
        <v>0.15</v>
      </c>
      <c r="C28">
        <v>0.15</v>
      </c>
    </row>
    <row r="29" spans="1:8" x14ac:dyDescent="0.2">
      <c r="A29" t="s">
        <v>35</v>
      </c>
      <c r="B29">
        <f>B28*(B27/0.02)^0.2</f>
        <v>0.1430743184987425</v>
      </c>
      <c r="C29">
        <f>C28*(C27/0.02)^0.2</f>
        <v>0.14563454964680705</v>
      </c>
    </row>
    <row r="30" spans="1:8" x14ac:dyDescent="0.2">
      <c r="A30" t="s">
        <v>36</v>
      </c>
      <c r="B30">
        <f>B29*((B24-B25)/B25)^0.5</f>
        <v>2.3643941477236257</v>
      </c>
      <c r="C30">
        <f>C29*((C24-C25)/C25)^0.5</f>
        <v>1.9982296217525211</v>
      </c>
    </row>
    <row r="31" spans="1:8" ht="17" x14ac:dyDescent="0.25">
      <c r="A31" t="s">
        <v>37</v>
      </c>
      <c r="B31">
        <f>0.85*B30</f>
        <v>2.0097350255650817</v>
      </c>
      <c r="C31">
        <f>0.85*C30</f>
        <v>1.6984951784896429</v>
      </c>
    </row>
    <row r="32" spans="1:8" ht="17" x14ac:dyDescent="0.25">
      <c r="A32" t="s">
        <v>38</v>
      </c>
      <c r="B32">
        <f>(-0.171*B71^2+0.27*B71-0.047)*((B24-B25)/B25)</f>
        <v>15.700326654275093</v>
      </c>
      <c r="C32">
        <f>(-0.171*0.25+0.27*0.5-0.047)*((C24-C25)/C25)</f>
        <v>8.5188414341762382</v>
      </c>
    </row>
    <row r="33" spans="1:3" ht="17" x14ac:dyDescent="0.25">
      <c r="A33" t="s">
        <v>39</v>
      </c>
      <c r="B33">
        <f>(B23*72.107)/(B25*3600)</f>
        <v>17.812677690004133</v>
      </c>
      <c r="C33">
        <f>(C23*72.107)/(C25*3600)</f>
        <v>12.573978674749135</v>
      </c>
    </row>
    <row r="34" spans="1:3" x14ac:dyDescent="0.2">
      <c r="A34" t="s">
        <v>72</v>
      </c>
      <c r="B34">
        <f>B33/B31</f>
        <v>8.863197119727614</v>
      </c>
      <c r="C34">
        <f>C33/C31</f>
        <v>7.403011108886588</v>
      </c>
    </row>
    <row r="35" spans="1:3" x14ac:dyDescent="0.2">
      <c r="A35" t="s">
        <v>41</v>
      </c>
      <c r="B35">
        <f>B34/(1-0.12)</f>
        <v>10.071814908781379</v>
      </c>
      <c r="C35">
        <f>C34/(1-0.12)</f>
        <v>8.4125126237347594</v>
      </c>
    </row>
    <row r="36" spans="1:3" x14ac:dyDescent="0.2">
      <c r="A36" t="s">
        <v>42</v>
      </c>
      <c r="B36">
        <f>(4*B35/3.1416)^0.5</f>
        <v>3.581033795077031</v>
      </c>
      <c r="C36">
        <f>(4*C35/3.1416)^0.5</f>
        <v>3.2727845477311885</v>
      </c>
    </row>
    <row r="37" spans="1:3" x14ac:dyDescent="0.2">
      <c r="A37" t="s">
        <v>67</v>
      </c>
      <c r="B37">
        <f>B36/0.0254</f>
        <v>140.98558248334768</v>
      </c>
    </row>
    <row r="38" spans="1:3" x14ac:dyDescent="0.2">
      <c r="A38" t="s">
        <v>68</v>
      </c>
      <c r="B38">
        <f>141</f>
        <v>141</v>
      </c>
    </row>
    <row r="39" spans="1:3" x14ac:dyDescent="0.2">
      <c r="A39" t="s">
        <v>69</v>
      </c>
      <c r="B39">
        <f>B38*0.0254</f>
        <v>3.5813999999999999</v>
      </c>
    </row>
    <row r="40" spans="1:3" x14ac:dyDescent="0.2">
      <c r="A40" t="s">
        <v>70</v>
      </c>
      <c r="B40">
        <f>G22</f>
        <v>10.073874948983999</v>
      </c>
    </row>
    <row r="41" spans="1:3" x14ac:dyDescent="0.2">
      <c r="A41" t="s">
        <v>71</v>
      </c>
      <c r="B41">
        <f>H22</f>
        <v>1.2088649938780798</v>
      </c>
    </row>
    <row r="42" spans="1:3" x14ac:dyDescent="0.2">
      <c r="A42" t="s">
        <v>73</v>
      </c>
      <c r="B42">
        <f>B40-B41</f>
        <v>8.8650099551059185</v>
      </c>
    </row>
    <row r="43" spans="1:3" x14ac:dyDescent="0.2">
      <c r="A43" t="s">
        <v>74</v>
      </c>
      <c r="B43">
        <f>B40-2*B41</f>
        <v>7.6561449612278398</v>
      </c>
    </row>
    <row r="44" spans="1:3" x14ac:dyDescent="0.2">
      <c r="A44" t="s">
        <v>53</v>
      </c>
      <c r="B44">
        <f>0.1*B43</f>
        <v>0.76561449612278398</v>
      </c>
    </row>
    <row r="45" spans="1:3" x14ac:dyDescent="0.2">
      <c r="A45" t="s">
        <v>75</v>
      </c>
      <c r="B45">
        <f>0.78*B39</f>
        <v>2.7934920000000001</v>
      </c>
    </row>
    <row r="49" spans="1:3" ht="17" x14ac:dyDescent="0.25">
      <c r="A49" t="s">
        <v>44</v>
      </c>
      <c r="B49">
        <f>(B22*72.107)/(B24*3600)</f>
        <v>6.4418816110297358E-2</v>
      </c>
      <c r="C49">
        <f>(C22*72.107)/(C24*3600)</f>
        <v>6.8868694649452056E-2</v>
      </c>
    </row>
    <row r="50" spans="1:3" x14ac:dyDescent="0.2">
      <c r="A50" t="s">
        <v>46</v>
      </c>
      <c r="C50">
        <f>(C22*72.107)/(3600)</f>
        <v>49.669905463888888</v>
      </c>
    </row>
    <row r="51" spans="1:3" x14ac:dyDescent="0.2">
      <c r="A51" t="s">
        <v>45</v>
      </c>
      <c r="C51">
        <f>0.7*C50</f>
        <v>34.768933824722218</v>
      </c>
    </row>
    <row r="52" spans="1:3" ht="17" x14ac:dyDescent="0.25">
      <c r="A52" t="s">
        <v>47</v>
      </c>
      <c r="C52">
        <f>(C50/(C24*B45))^(2/3)*750</f>
        <v>63.529808026042822</v>
      </c>
    </row>
    <row r="53" spans="1:3" ht="17" x14ac:dyDescent="0.25">
      <c r="A53" t="s">
        <v>48</v>
      </c>
      <c r="C53">
        <f>(C51/(C24*B45))^(2/3)*750</f>
        <v>50.085218144023955</v>
      </c>
    </row>
    <row r="54" spans="1:3" x14ac:dyDescent="0.2">
      <c r="A54" t="s">
        <v>49</v>
      </c>
      <c r="C54">
        <f>50+C53</f>
        <v>100.08521814402395</v>
      </c>
    </row>
    <row r="55" spans="1:3" x14ac:dyDescent="0.2">
      <c r="A55" t="s">
        <v>76</v>
      </c>
      <c r="C55">
        <v>31</v>
      </c>
    </row>
    <row r="56" spans="1:3" ht="17" x14ac:dyDescent="0.25">
      <c r="A56" s="4" t="s">
        <v>50</v>
      </c>
      <c r="C56">
        <f>(C55-0.9*(25.4-5))/(B25)^0.5</f>
        <v>7.706744017140112</v>
      </c>
    </row>
    <row r="57" spans="1:3" ht="17" x14ac:dyDescent="0.25">
      <c r="A57" s="4" t="s">
        <v>51</v>
      </c>
      <c r="C57">
        <f>0.7*$C$33/B44</f>
        <v>11.496366796734247</v>
      </c>
    </row>
    <row r="58" spans="1:3" x14ac:dyDescent="0.2">
      <c r="A58" s="4" t="s">
        <v>54</v>
      </c>
      <c r="C58">
        <f>C33/B44</f>
        <v>16.423381138191782</v>
      </c>
    </row>
    <row r="59" spans="1:3" x14ac:dyDescent="0.2">
      <c r="A59" s="4" t="s">
        <v>55</v>
      </c>
      <c r="C59">
        <f>(51*(C58/F22)^2)*(C25/C24)</f>
        <v>102.51995919427446</v>
      </c>
    </row>
    <row r="60" spans="1:3" x14ac:dyDescent="0.2">
      <c r="A60" s="4" t="s">
        <v>57</v>
      </c>
      <c r="C60">
        <f>12500/C24</f>
        <v>17.331594958319659</v>
      </c>
    </row>
    <row r="61" spans="1:3" x14ac:dyDescent="0.2">
      <c r="A61" s="4" t="s">
        <v>58</v>
      </c>
      <c r="C61">
        <f>C59+(50+C53)+C60</f>
        <v>219.93677229661807</v>
      </c>
    </row>
    <row r="62" spans="1:3" x14ac:dyDescent="0.2">
      <c r="A62" s="4" t="s">
        <v>59</v>
      </c>
      <c r="C62">
        <f>(3.1416/4)*B39^2</f>
        <v>10.073874948983999</v>
      </c>
    </row>
    <row r="63" spans="1:3" x14ac:dyDescent="0.2">
      <c r="A63" s="4" t="s">
        <v>61</v>
      </c>
      <c r="C63">
        <f>(50-5)*0.001</f>
        <v>4.4999999999999998E-2</v>
      </c>
    </row>
    <row r="64" spans="1:3" x14ac:dyDescent="0.2">
      <c r="A64" s="4" t="s">
        <v>64</v>
      </c>
      <c r="C64">
        <f>C63*3.546</f>
        <v>0.15956999999999999</v>
      </c>
    </row>
    <row r="65" spans="1:3" x14ac:dyDescent="0.2">
      <c r="A65" s="4" t="s">
        <v>63</v>
      </c>
      <c r="C65">
        <f>166*(C50/(C24*C64))^2</f>
        <v>30.920698827063376</v>
      </c>
    </row>
    <row r="66" spans="1:3" x14ac:dyDescent="0.2">
      <c r="A66" s="4" t="s">
        <v>62</v>
      </c>
      <c r="C66">
        <f>C54+C61+C65</f>
        <v>350.94268926770542</v>
      </c>
    </row>
    <row r="70" spans="1:3" x14ac:dyDescent="0.2">
      <c r="A70" t="s">
        <v>65</v>
      </c>
    </row>
    <row r="71" spans="1:3" x14ac:dyDescent="0.2">
      <c r="A71" t="s">
        <v>66</v>
      </c>
      <c r="B71">
        <v>0.9</v>
      </c>
    </row>
    <row r="72" spans="1:3" x14ac:dyDescent="0.2">
      <c r="B72">
        <f>0.9^2</f>
        <v>0.81</v>
      </c>
    </row>
  </sheetData>
  <mergeCells count="4">
    <mergeCell ref="S2:T2"/>
    <mergeCell ref="U2:V2"/>
    <mergeCell ref="X2:Y2"/>
    <mergeCell ref="Z2:AA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topLeftCell="A52" workbookViewId="0">
      <selection activeCell="C70" sqref="C70"/>
    </sheetView>
  </sheetViews>
  <sheetFormatPr baseColWidth="10" defaultRowHeight="15" x14ac:dyDescent="0.2"/>
  <cols>
    <col min="1" max="1" width="16.33203125" customWidth="1"/>
    <col min="2" max="2" width="11.83203125" bestFit="1" customWidth="1"/>
    <col min="6" max="6" width="16.5" customWidth="1"/>
    <col min="7" max="7" width="17.1640625" customWidth="1"/>
    <col min="8" max="8" width="14.6640625" customWidth="1"/>
    <col min="18" max="18" width="22.6640625" customWidth="1"/>
    <col min="19" max="19" width="16.33203125" customWidth="1"/>
    <col min="20" max="20" width="8.6640625" customWidth="1"/>
    <col min="22" max="22" width="12" customWidth="1"/>
    <col min="23" max="23" width="24.5" customWidth="1"/>
    <col min="25" max="25" width="15.33203125" customWidth="1"/>
    <col min="27" max="27" width="12.83203125" customWidth="1"/>
    <col min="28" max="28" width="28.6640625" customWidth="1"/>
    <col min="29" max="29" width="31.33203125" customWidth="1"/>
    <col min="30" max="30" width="29.5" customWidth="1"/>
    <col min="31" max="31" width="23.1640625" customWidth="1"/>
  </cols>
  <sheetData>
    <row r="1" spans="1:31" x14ac:dyDescent="0.2">
      <c r="A1" s="19"/>
      <c r="B1" s="20" t="s">
        <v>4</v>
      </c>
      <c r="C1" s="20" t="s">
        <v>0</v>
      </c>
      <c r="D1" s="20" t="s">
        <v>1</v>
      </c>
      <c r="E1" s="20" t="s">
        <v>2</v>
      </c>
      <c r="F1" s="20" t="s">
        <v>3</v>
      </c>
      <c r="G1" s="21" t="s">
        <v>6</v>
      </c>
      <c r="H1" s="2" t="s">
        <v>7</v>
      </c>
      <c r="I1" t="s">
        <v>11</v>
      </c>
      <c r="J1" t="s">
        <v>5</v>
      </c>
      <c r="L1" t="s">
        <v>8</v>
      </c>
      <c r="M1" t="s">
        <v>9</v>
      </c>
      <c r="N1" t="s">
        <v>14</v>
      </c>
      <c r="Q1" t="s">
        <v>15</v>
      </c>
      <c r="R1" t="s">
        <v>16</v>
      </c>
      <c r="S1" t="s">
        <v>17</v>
      </c>
      <c r="U1" t="s">
        <v>21</v>
      </c>
      <c r="W1" t="s">
        <v>18</v>
      </c>
      <c r="X1" t="s">
        <v>19</v>
      </c>
      <c r="Z1" t="s">
        <v>20</v>
      </c>
      <c r="AB1" t="s">
        <v>22</v>
      </c>
      <c r="AC1" t="s">
        <v>23</v>
      </c>
      <c r="AD1" t="s">
        <v>24</v>
      </c>
      <c r="AE1" t="s">
        <v>25</v>
      </c>
    </row>
    <row r="2" spans="1:31" x14ac:dyDescent="0.2">
      <c r="A2" s="22">
        <v>88.74</v>
      </c>
      <c r="B2" s="18">
        <f>A2+273</f>
        <v>361.74</v>
      </c>
      <c r="C2" s="18">
        <f>EXP(15.9888-(2676.98/(B2-51.15)))</f>
        <v>1587.2918082213068</v>
      </c>
      <c r="D2" s="18">
        <f>EXP(16.1668-(2839.09/(B2-50.15)))</f>
        <v>1158.8448390516739</v>
      </c>
      <c r="E2" s="18">
        <f>($J$2-D2)/(C2-D2)</f>
        <v>4.0465017556094348E-5</v>
      </c>
      <c r="F2" s="18">
        <f>E2*C2/$J$2</f>
        <v>5.542487468080959E-5</v>
      </c>
      <c r="G2" s="23">
        <f>C2/D2</f>
        <v>1.3697190121847953</v>
      </c>
      <c r="J2">
        <f>760+1519.35*35*760/101325</f>
        <v>1158.8621761658032</v>
      </c>
      <c r="N2">
        <f>51-32.5*LOG10(L14*M14)</f>
        <v>63.644618475678783</v>
      </c>
      <c r="Q2">
        <f>(22/N2)*100</f>
        <v>34.566944585278804</v>
      </c>
      <c r="R2">
        <f>9.7941</f>
        <v>9.7941000000000003</v>
      </c>
      <c r="S2" s="33">
        <v>10.122</v>
      </c>
      <c r="T2" s="33"/>
      <c r="U2" s="33">
        <f>0.012*R2+(1-0.012)*S2*72.107</f>
        <v>721.22617855200008</v>
      </c>
      <c r="V2" s="33"/>
      <c r="W2">
        <v>5.3580000000000003E-2</v>
      </c>
      <c r="X2" s="33">
        <v>5.3710000000000001E-2</v>
      </c>
      <c r="Y2" s="33"/>
      <c r="Z2" s="33">
        <f>F14*W2+(1-F14)*X2*72.107</f>
        <v>3.8107351877680111</v>
      </c>
      <c r="AA2" s="33"/>
      <c r="AB2" s="3">
        <v>12.9994</v>
      </c>
      <c r="AC2">
        <v>17.3246</v>
      </c>
      <c r="AD2">
        <f>(F14*AB2+(1-F14)*AC2)*0.001</f>
        <v>1.725423807469283E-2</v>
      </c>
      <c r="AE2">
        <v>1.5789999999999998E-2</v>
      </c>
    </row>
    <row r="3" spans="1:31" x14ac:dyDescent="0.2">
      <c r="A3" s="24">
        <v>88.12</v>
      </c>
      <c r="B3" s="18">
        <f t="shared" ref="B3:B14" si="0">A3+273</f>
        <v>361.12</v>
      </c>
      <c r="C3" s="18">
        <f t="shared" ref="C3:C14" si="1">EXP(15.9888-(2676.98/(B3-51.15)))</f>
        <v>1560.161902537996</v>
      </c>
      <c r="D3" s="18">
        <f t="shared" ref="D3:D13" si="2">EXP(16.1668-(2839.09/(B3-50.15)))</f>
        <v>1137.9828686893482</v>
      </c>
      <c r="E3" s="18">
        <f t="shared" ref="E3:E14" si="3">($J$2-D3)/(C3-D3)</f>
        <v>4.9456050164585812E-2</v>
      </c>
      <c r="F3" s="18">
        <f t="shared" ref="F3:F14" si="4">E3*C3/$J$2</f>
        <v>6.6582072401468434E-2</v>
      </c>
      <c r="G3" s="23">
        <f t="shared" ref="G3:G13" si="5">C3/D3</f>
        <v>1.370988918607259</v>
      </c>
    </row>
    <row r="4" spans="1:31" x14ac:dyDescent="0.2">
      <c r="A4" s="24">
        <v>88.13</v>
      </c>
      <c r="B4" s="18">
        <f t="shared" si="0"/>
        <v>361.13</v>
      </c>
      <c r="C4" s="18">
        <f t="shared" si="1"/>
        <v>1560.5966348872985</v>
      </c>
      <c r="D4" s="18">
        <f t="shared" si="2"/>
        <v>1138.3170080853502</v>
      </c>
      <c r="E4" s="18">
        <f t="shared" si="3"/>
        <v>4.8652993837396047E-2</v>
      </c>
      <c r="F4" s="18">
        <f t="shared" si="4"/>
        <v>6.5519179089135654E-2</v>
      </c>
      <c r="G4" s="23">
        <f t="shared" si="5"/>
        <v>1.3709683891240656</v>
      </c>
    </row>
    <row r="5" spans="1:31" x14ac:dyDescent="0.2">
      <c r="A5" s="24">
        <v>88.15</v>
      </c>
      <c r="B5" s="18">
        <f t="shared" si="0"/>
        <v>361.15</v>
      </c>
      <c r="C5" s="18">
        <f t="shared" si="1"/>
        <v>1561.46637882814</v>
      </c>
      <c r="D5" s="18">
        <f t="shared" si="2"/>
        <v>1138.9855167289572</v>
      </c>
      <c r="E5" s="18">
        <f t="shared" si="3"/>
        <v>4.7047478880072234E-2</v>
      </c>
      <c r="F5" s="18">
        <f t="shared" si="4"/>
        <v>6.3392401608031362E-2</v>
      </c>
      <c r="G5" s="23">
        <f t="shared" si="5"/>
        <v>1.3709273348027304</v>
      </c>
    </row>
    <row r="6" spans="1:31" x14ac:dyDescent="0.2">
      <c r="A6" s="24">
        <v>88.2</v>
      </c>
      <c r="B6" s="18">
        <f t="shared" si="0"/>
        <v>361.2</v>
      </c>
      <c r="C6" s="18">
        <f t="shared" si="1"/>
        <v>1563.6423682007289</v>
      </c>
      <c r="D6" s="18">
        <f t="shared" si="2"/>
        <v>1140.6581296965292</v>
      </c>
      <c r="E6" s="18">
        <f t="shared" si="3"/>
        <v>4.3037174466947291E-2</v>
      </c>
      <c r="F6" s="18">
        <f t="shared" si="4"/>
        <v>5.8069674537843625E-2</v>
      </c>
      <c r="G6" s="23">
        <f t="shared" si="5"/>
        <v>1.3708247260875037</v>
      </c>
    </row>
    <row r="7" spans="1:31" x14ac:dyDescent="0.2">
      <c r="A7" s="24">
        <v>88.4</v>
      </c>
      <c r="B7" s="18">
        <f t="shared" si="0"/>
        <v>361.4</v>
      </c>
      <c r="C7" s="18">
        <f t="shared" si="1"/>
        <v>1572.36963385012</v>
      </c>
      <c r="D7" s="18">
        <f t="shared" si="2"/>
        <v>1147.3677707249713</v>
      </c>
      <c r="E7" s="18">
        <f t="shared" si="3"/>
        <v>2.7045541297891398E-2</v>
      </c>
      <c r="F7" s="18">
        <f t="shared" si="4"/>
        <v>3.6695983994009897E-2</v>
      </c>
      <c r="G7" s="23">
        <f t="shared" si="5"/>
        <v>1.370414677812162</v>
      </c>
    </row>
    <row r="8" spans="1:31" x14ac:dyDescent="0.2">
      <c r="A8" s="24">
        <v>88.5</v>
      </c>
      <c r="B8" s="18">
        <f t="shared" si="0"/>
        <v>361.5</v>
      </c>
      <c r="C8" s="18">
        <f t="shared" si="1"/>
        <v>1576.7472743637386</v>
      </c>
      <c r="D8" s="18">
        <f t="shared" si="2"/>
        <v>1150.7341256626696</v>
      </c>
      <c r="E8" s="18">
        <f t="shared" si="3"/>
        <v>1.9079341865189808E-2</v>
      </c>
      <c r="F8" s="18">
        <f t="shared" si="4"/>
        <v>2.5959342621851053E-2</v>
      </c>
      <c r="G8" s="23">
        <f t="shared" si="5"/>
        <v>1.3702098853249374</v>
      </c>
    </row>
    <row r="9" spans="1:31" x14ac:dyDescent="0.2">
      <c r="A9" s="24">
        <v>88.6</v>
      </c>
      <c r="B9" s="18">
        <f t="shared" si="0"/>
        <v>361.6</v>
      </c>
      <c r="C9" s="18">
        <f t="shared" si="1"/>
        <v>1581.13427071094</v>
      </c>
      <c r="D9" s="18">
        <f t="shared" si="2"/>
        <v>1154.1081861724649</v>
      </c>
      <c r="E9" s="18">
        <f t="shared" si="3"/>
        <v>1.113278594790385E-2</v>
      </c>
      <c r="F9" s="18">
        <f t="shared" si="4"/>
        <v>1.5189407120835654E-2</v>
      </c>
      <c r="G9" s="23">
        <f t="shared" si="5"/>
        <v>1.370005247042466</v>
      </c>
    </row>
    <row r="10" spans="1:31" x14ac:dyDescent="0.2">
      <c r="A10" s="24">
        <v>88.53</v>
      </c>
      <c r="B10" s="18">
        <f t="shared" si="0"/>
        <v>361.53</v>
      </c>
      <c r="C10" s="18">
        <f t="shared" si="1"/>
        <v>1578.0623903122782</v>
      </c>
      <c r="D10" s="18">
        <f t="shared" si="2"/>
        <v>1151.7455341857515</v>
      </c>
      <c r="E10" s="18">
        <f t="shared" si="3"/>
        <v>1.6693315963888677E-2</v>
      </c>
      <c r="F10" s="18">
        <f t="shared" si="4"/>
        <v>2.2731861160030873E-2</v>
      </c>
      <c r="G10" s="23">
        <f t="shared" si="5"/>
        <v>1.3701484776564987</v>
      </c>
    </row>
    <row r="11" spans="1:31" x14ac:dyDescent="0.2">
      <c r="A11" s="24">
        <v>88.54</v>
      </c>
      <c r="B11" s="18">
        <f t="shared" si="0"/>
        <v>361.54</v>
      </c>
      <c r="C11" s="18">
        <f t="shared" si="1"/>
        <v>1578.5009494726191</v>
      </c>
      <c r="D11" s="18">
        <f t="shared" si="2"/>
        <v>1152.0828245274204</v>
      </c>
      <c r="E11" s="18">
        <f t="shared" si="3"/>
        <v>1.5898366513510953E-2</v>
      </c>
      <c r="F11" s="18">
        <f t="shared" si="4"/>
        <v>2.1655367784693492E-2</v>
      </c>
      <c r="G11" s="23">
        <f t="shared" si="5"/>
        <v>1.3701280115169789</v>
      </c>
    </row>
    <row r="12" spans="1:31" x14ac:dyDescent="0.2">
      <c r="A12" s="24">
        <v>88.55</v>
      </c>
      <c r="B12" s="18">
        <f t="shared" si="0"/>
        <v>361.55</v>
      </c>
      <c r="C12" s="18">
        <f t="shared" si="1"/>
        <v>1578.9396022434369</v>
      </c>
      <c r="D12" s="18">
        <f t="shared" si="2"/>
        <v>1152.4201919727013</v>
      </c>
      <c r="E12" s="18">
        <f t="shared" si="3"/>
        <v>1.5103613195499899E-2</v>
      </c>
      <c r="F12" s="18">
        <f t="shared" si="4"/>
        <v>2.0578541177557034E-2</v>
      </c>
      <c r="G12" s="23">
        <f t="shared" si="5"/>
        <v>1.3701075469188229</v>
      </c>
    </row>
    <row r="13" spans="1:31" x14ac:dyDescent="0.2">
      <c r="A13" s="24">
        <v>88.57</v>
      </c>
      <c r="B13" s="18">
        <f t="shared" si="0"/>
        <v>361.57</v>
      </c>
      <c r="C13" s="18">
        <f t="shared" si="1"/>
        <v>1579.8171886686382</v>
      </c>
      <c r="D13" s="18">
        <f t="shared" si="2"/>
        <v>1153.0951582220011</v>
      </c>
      <c r="E13" s="18">
        <f t="shared" si="3"/>
        <v>1.3514694654423955E-2</v>
      </c>
      <c r="F13" s="18">
        <f t="shared" si="4"/>
        <v>1.84238879771777E-2</v>
      </c>
      <c r="G13" s="23">
        <f t="shared" si="5"/>
        <v>1.3700666223459086</v>
      </c>
    </row>
    <row r="14" spans="1:31" ht="16" thickBot="1" x14ac:dyDescent="0.25">
      <c r="A14" s="25">
        <v>88.59</v>
      </c>
      <c r="B14" s="26">
        <f t="shared" si="0"/>
        <v>361.59000000000003</v>
      </c>
      <c r="C14" s="26">
        <f t="shared" si="1"/>
        <v>1580.6951496921888</v>
      </c>
      <c r="D14" s="26">
        <f>EXP(16.1668-(2839.09/(B14-50.15)))</f>
        <v>1153.7704330294707</v>
      </c>
      <c r="E14" s="26">
        <f t="shared" si="3"/>
        <v>1.1926559736655252E-2</v>
      </c>
      <c r="F14" s="26">
        <f t="shared" si="4"/>
        <v>1.6267900977335749E-2</v>
      </c>
      <c r="G14" s="27">
        <f>C14/D14</f>
        <v>1.3700257039363855</v>
      </c>
      <c r="H14" s="1">
        <v>0.29137000000000002</v>
      </c>
      <c r="I14" s="1">
        <v>0.23089999999999999</v>
      </c>
      <c r="L14">
        <f>AVERAGE(H16,H17)</f>
        <v>0.29223647093003569</v>
      </c>
      <c r="M14">
        <f>AVERAGE(G14,H19)</f>
        <v>1.3970128519681926</v>
      </c>
    </row>
    <row r="16" spans="1:31" x14ac:dyDescent="0.2">
      <c r="G16" t="s">
        <v>12</v>
      </c>
      <c r="H16">
        <f>1/(E14/H14+(1-E14)/I14)</f>
        <v>0.23147294186007145</v>
      </c>
    </row>
    <row r="17" spans="1:8" x14ac:dyDescent="0.2">
      <c r="G17" t="s">
        <v>13</v>
      </c>
      <c r="H17">
        <v>0.35299999999999998</v>
      </c>
    </row>
    <row r="19" spans="1:8" x14ac:dyDescent="0.2">
      <c r="G19" t="s">
        <v>10</v>
      </c>
      <c r="H19">
        <v>1.4239999999999999</v>
      </c>
    </row>
    <row r="21" spans="1:8" x14ac:dyDescent="0.2">
      <c r="B21" t="s">
        <v>27</v>
      </c>
      <c r="C21" t="s">
        <v>28</v>
      </c>
      <c r="F21" t="s">
        <v>56</v>
      </c>
      <c r="G21" t="s">
        <v>70</v>
      </c>
      <c r="H21" t="s">
        <v>71</v>
      </c>
    </row>
    <row r="22" spans="1:8" x14ac:dyDescent="0.2">
      <c r="A22" t="s">
        <v>31</v>
      </c>
      <c r="B22">
        <v>2371.34</v>
      </c>
      <c r="C22">
        <v>2479.81</v>
      </c>
      <c r="F22">
        <v>0.84199999999999997</v>
      </c>
      <c r="G22">
        <f>3.1416/4*(B39)^2</f>
        <v>13.795143377399997</v>
      </c>
      <c r="H22">
        <f>0.12*G22</f>
        <v>1.6554172052879996</v>
      </c>
    </row>
    <row r="23" spans="1:8" x14ac:dyDescent="0.2">
      <c r="A23" t="s">
        <v>29</v>
      </c>
      <c r="B23">
        <v>2392.25</v>
      </c>
      <c r="C23">
        <v>2392.25</v>
      </c>
    </row>
    <row r="24" spans="1:8" x14ac:dyDescent="0.2">
      <c r="A24" t="s">
        <v>32</v>
      </c>
      <c r="B24">
        <v>737.32</v>
      </c>
      <c r="C24">
        <f>U2</f>
        <v>721.22617855200008</v>
      </c>
    </row>
    <row r="25" spans="1:8" x14ac:dyDescent="0.2">
      <c r="A25" t="s">
        <v>30</v>
      </c>
      <c r="B25">
        <v>2.69</v>
      </c>
      <c r="C25">
        <f>Z2</f>
        <v>3.8107351877680111</v>
      </c>
    </row>
    <row r="26" spans="1:8" ht="17" x14ac:dyDescent="0.25">
      <c r="A26" t="s">
        <v>26</v>
      </c>
      <c r="B26">
        <f>B22/B23*(B25/B24)^0.5</f>
        <v>5.9873603448605164E-2</v>
      </c>
      <c r="C26">
        <f>C22/C23*(C25/C24)^0.5</f>
        <v>7.5349519609944182E-2</v>
      </c>
    </row>
    <row r="27" spans="1:8" x14ac:dyDescent="0.2">
      <c r="A27" t="s">
        <v>33</v>
      </c>
      <c r="B27">
        <f>AE2</f>
        <v>1.5789999999999998E-2</v>
      </c>
      <c r="C27">
        <f>AD2</f>
        <v>1.725423807469283E-2</v>
      </c>
    </row>
    <row r="28" spans="1:8" x14ac:dyDescent="0.2">
      <c r="A28" t="s">
        <v>34</v>
      </c>
      <c r="B28">
        <v>0.11</v>
      </c>
      <c r="C28">
        <v>0.11</v>
      </c>
    </row>
    <row r="29" spans="1:8" x14ac:dyDescent="0.2">
      <c r="A29" t="s">
        <v>35</v>
      </c>
      <c r="B29">
        <f>B28*(B27/0.02)^0.2</f>
        <v>0.10492116689907784</v>
      </c>
      <c r="C29">
        <f>C28*(C27/0.02)^0.2</f>
        <v>0.10679866974099185</v>
      </c>
    </row>
    <row r="30" spans="1:8" x14ac:dyDescent="0.2">
      <c r="A30" t="s">
        <v>36</v>
      </c>
      <c r="B30">
        <f>B29*((B24-B25)/B25)^0.5</f>
        <v>1.7338890416639923</v>
      </c>
      <c r="C30">
        <f>C29*((C24-C25)/C25)^0.5</f>
        <v>1.4653683892851823</v>
      </c>
    </row>
    <row r="31" spans="1:8" ht="17" x14ac:dyDescent="0.25">
      <c r="A31" t="s">
        <v>37</v>
      </c>
      <c r="B31">
        <f>0.85*B30</f>
        <v>1.4738056854143935</v>
      </c>
      <c r="C31">
        <f>0.85*C30</f>
        <v>1.2455631308924049</v>
      </c>
    </row>
    <row r="32" spans="1:8" ht="17" x14ac:dyDescent="0.25">
      <c r="A32" s="5" t="s">
        <v>38</v>
      </c>
      <c r="B32" s="5">
        <f>(-0.171*B72^2+0.27*B72-0.047)*((B24-B25)/B25)</f>
        <v>14.594285204460967</v>
      </c>
      <c r="C32" s="5">
        <f>(-0.171*0.25+0.27*0.5-0.047)*((C24-C25)/C25)</f>
        <v>8.5188414341762382</v>
      </c>
    </row>
    <row r="33" spans="1:3" ht="17" x14ac:dyDescent="0.25">
      <c r="A33" t="s">
        <v>39</v>
      </c>
      <c r="B33">
        <f>(B23*72.107)/(B25*3600)</f>
        <v>17.812677690004133</v>
      </c>
      <c r="C33">
        <f>(C23*72.107)/(C25*3600)</f>
        <v>12.573978674749135</v>
      </c>
    </row>
    <row r="34" spans="1:3" x14ac:dyDescent="0.2">
      <c r="A34" t="s">
        <v>72</v>
      </c>
      <c r="B34">
        <f>B33/B31</f>
        <v>12.086177890537652</v>
      </c>
      <c r="C34">
        <f>C33/C31</f>
        <v>10.095015148481711</v>
      </c>
    </row>
    <row r="35" spans="1:3" x14ac:dyDescent="0.2">
      <c r="A35" t="s">
        <v>41</v>
      </c>
      <c r="B35">
        <f>B34/(1-0.12)</f>
        <v>13.73429305742915</v>
      </c>
      <c r="C35">
        <f>C34/(1-0.12)</f>
        <v>11.47160812327467</v>
      </c>
    </row>
    <row r="36" spans="1:3" x14ac:dyDescent="0.2">
      <c r="A36" t="s">
        <v>42</v>
      </c>
      <c r="B36">
        <f>(4*B35/3.1416)^0.5</f>
        <v>4.1817465427113003</v>
      </c>
      <c r="C36">
        <f>(4*C35/3.1416)^0.5</f>
        <v>3.8217889723153164</v>
      </c>
    </row>
    <row r="37" spans="1:3" x14ac:dyDescent="0.2">
      <c r="A37" t="s">
        <v>67</v>
      </c>
      <c r="B37">
        <f>B36/0.0254</f>
        <v>164.63569065792521</v>
      </c>
    </row>
    <row r="38" spans="1:3" x14ac:dyDescent="0.2">
      <c r="A38" t="s">
        <v>68</v>
      </c>
      <c r="B38">
        <v>165</v>
      </c>
    </row>
    <row r="39" spans="1:3" x14ac:dyDescent="0.2">
      <c r="A39" t="s">
        <v>69</v>
      </c>
      <c r="B39">
        <f>B38*0.0254</f>
        <v>4.1909999999999998</v>
      </c>
    </row>
    <row r="40" spans="1:3" x14ac:dyDescent="0.2">
      <c r="A40" t="s">
        <v>70</v>
      </c>
      <c r="B40">
        <f>G22</f>
        <v>13.795143377399997</v>
      </c>
    </row>
    <row r="41" spans="1:3" x14ac:dyDescent="0.2">
      <c r="A41" t="s">
        <v>71</v>
      </c>
      <c r="B41">
        <f>H22</f>
        <v>1.6554172052879996</v>
      </c>
    </row>
    <row r="42" spans="1:3" x14ac:dyDescent="0.2">
      <c r="A42" t="s">
        <v>73</v>
      </c>
      <c r="B42">
        <f>B40-B41</f>
        <v>12.139726172111997</v>
      </c>
    </row>
    <row r="43" spans="1:3" x14ac:dyDescent="0.2">
      <c r="A43" t="s">
        <v>74</v>
      </c>
      <c r="B43">
        <f>B40-2*B41</f>
        <v>10.484308966823997</v>
      </c>
    </row>
    <row r="44" spans="1:3" x14ac:dyDescent="0.2">
      <c r="A44" t="s">
        <v>53</v>
      </c>
      <c r="B44">
        <f>0.1*B43</f>
        <v>1.0484308966823999</v>
      </c>
    </row>
    <row r="45" spans="1:3" x14ac:dyDescent="0.2">
      <c r="A45" t="s">
        <v>75</v>
      </c>
      <c r="B45">
        <f>0.78*B39</f>
        <v>3.26898</v>
      </c>
    </row>
    <row r="49" spans="1:3" ht="17" x14ac:dyDescent="0.25">
      <c r="A49" t="s">
        <v>44</v>
      </c>
      <c r="B49">
        <f>(B22*72.107)/(B24*3600)</f>
        <v>6.4418816110297358E-2</v>
      </c>
      <c r="C49">
        <f>(C22*72.107)/(C24*3600)</f>
        <v>6.8868694649452056E-2</v>
      </c>
    </row>
    <row r="50" spans="1:3" x14ac:dyDescent="0.2">
      <c r="A50" t="s">
        <v>46</v>
      </c>
      <c r="C50">
        <f>(C22*72.107)/(3600)</f>
        <v>49.669905463888888</v>
      </c>
    </row>
    <row r="51" spans="1:3" x14ac:dyDescent="0.2">
      <c r="A51" t="s">
        <v>45</v>
      </c>
      <c r="C51">
        <f>0.7*C50</f>
        <v>34.768933824722218</v>
      </c>
    </row>
    <row r="52" spans="1:3" ht="17" x14ac:dyDescent="0.25">
      <c r="A52" t="s">
        <v>47</v>
      </c>
      <c r="C52">
        <f>(C50/(C24*B45))^(2/3)*750</f>
        <v>57.209434550263893</v>
      </c>
    </row>
    <row r="53" spans="1:3" ht="17" x14ac:dyDescent="0.25">
      <c r="A53" t="s">
        <v>48</v>
      </c>
      <c r="C53">
        <f>(C51/(C24*B45))^(2/3)*750</f>
        <v>45.102403082528333</v>
      </c>
    </row>
    <row r="54" spans="1:3" x14ac:dyDescent="0.2">
      <c r="A54" t="s">
        <v>49</v>
      </c>
      <c r="C54">
        <f>50+C53</f>
        <v>95.102403082528326</v>
      </c>
    </row>
    <row r="55" spans="1:3" x14ac:dyDescent="0.2">
      <c r="A55" t="s">
        <v>76</v>
      </c>
      <c r="C55">
        <v>30.95</v>
      </c>
    </row>
    <row r="56" spans="1:3" ht="17" x14ac:dyDescent="0.25">
      <c r="A56" s="4" t="s">
        <v>50</v>
      </c>
      <c r="C56">
        <f>(C55-0.9*(25.4-5))/(B25)^0.5</f>
        <v>7.6762584790976272</v>
      </c>
    </row>
    <row r="57" spans="1:3" ht="17" x14ac:dyDescent="0.25">
      <c r="A57" s="4" t="s">
        <v>51</v>
      </c>
      <c r="C57">
        <f>0.7*$C$33/B44</f>
        <v>8.3951981004912248</v>
      </c>
    </row>
    <row r="58" spans="1:3" x14ac:dyDescent="0.2">
      <c r="A58" s="4" t="s">
        <v>54</v>
      </c>
      <c r="C58">
        <f>C33/B44</f>
        <v>11.993140143558891</v>
      </c>
    </row>
    <row r="59" spans="1:3" x14ac:dyDescent="0.2">
      <c r="A59" s="4" t="s">
        <v>55</v>
      </c>
      <c r="C59">
        <f>(51*(C58/F22)^2)*(C25/C24)</f>
        <v>54.670003087338451</v>
      </c>
    </row>
    <row r="60" spans="1:3" x14ac:dyDescent="0.2">
      <c r="A60" s="4" t="s">
        <v>57</v>
      </c>
      <c r="C60">
        <f>12500/C24</f>
        <v>17.331594958319659</v>
      </c>
    </row>
    <row r="61" spans="1:3" x14ac:dyDescent="0.2">
      <c r="A61" s="4" t="s">
        <v>58</v>
      </c>
      <c r="C61">
        <f>C59+(50+C53)+C60</f>
        <v>167.10400112818644</v>
      </c>
    </row>
    <row r="62" spans="1:3" x14ac:dyDescent="0.2">
      <c r="A62" s="4" t="s">
        <v>59</v>
      </c>
      <c r="C62">
        <f>(3.1416/4)*B39^2</f>
        <v>13.795143377399997</v>
      </c>
    </row>
    <row r="63" spans="1:3" x14ac:dyDescent="0.2">
      <c r="A63" s="4" t="s">
        <v>61</v>
      </c>
      <c r="C63">
        <f>(50-5)*0.001</f>
        <v>4.4999999999999998E-2</v>
      </c>
    </row>
    <row r="64" spans="1:3" x14ac:dyDescent="0.2">
      <c r="A64" s="4" t="s">
        <v>64</v>
      </c>
      <c r="C64">
        <f>C63*B45</f>
        <v>0.14710409999999999</v>
      </c>
    </row>
    <row r="65" spans="1:3" x14ac:dyDescent="0.2">
      <c r="A65" s="4" t="s">
        <v>63</v>
      </c>
      <c r="C65">
        <f>166*(C50/(C24*C64))^2</f>
        <v>36.383312459680404</v>
      </c>
    </row>
    <row r="66" spans="1:3" x14ac:dyDescent="0.2">
      <c r="A66" s="4" t="s">
        <v>62</v>
      </c>
      <c r="C66">
        <f>C54+C61+C65</f>
        <v>298.58971667039515</v>
      </c>
    </row>
    <row r="67" spans="1:3" x14ac:dyDescent="0.2">
      <c r="A67" s="4" t="s">
        <v>77</v>
      </c>
      <c r="C67">
        <f>(B41*C66*0.001*C24)/C50</f>
        <v>7.1772894319287612</v>
      </c>
    </row>
    <row r="68" spans="1:3" x14ac:dyDescent="0.2">
      <c r="A68" s="4" t="s">
        <v>78</v>
      </c>
      <c r="C68">
        <f>C33/B42</f>
        <v>1.0357711942164498</v>
      </c>
    </row>
    <row r="69" spans="1:3" x14ac:dyDescent="0.2">
      <c r="A69" s="4" t="s">
        <v>79</v>
      </c>
      <c r="C69">
        <f>(C68/C30)*100</f>
        <v>70.683331358178592</v>
      </c>
    </row>
    <row r="70" spans="1:3" x14ac:dyDescent="0.2">
      <c r="A70" s="4" t="s">
        <v>80</v>
      </c>
      <c r="C70">
        <v>2.3E-2</v>
      </c>
    </row>
    <row r="71" spans="1:3" x14ac:dyDescent="0.2">
      <c r="A71" t="s">
        <v>65</v>
      </c>
    </row>
    <row r="72" spans="1:3" x14ac:dyDescent="0.2">
      <c r="A72" t="s">
        <v>66</v>
      </c>
      <c r="B72">
        <v>0.6</v>
      </c>
    </row>
    <row r="73" spans="1:3" x14ac:dyDescent="0.2">
      <c r="B73">
        <f>0.9^2</f>
        <v>0.81</v>
      </c>
    </row>
  </sheetData>
  <mergeCells count="4">
    <mergeCell ref="S2:T2"/>
    <mergeCell ref="U2:V2"/>
    <mergeCell ref="X2:Y2"/>
    <mergeCell ref="Z2:AA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50" zoomScaleNormal="150" zoomScalePageLayoutView="150" workbookViewId="0">
      <selection activeCell="E3" sqref="E3"/>
    </sheetView>
  </sheetViews>
  <sheetFormatPr baseColWidth="10" defaultRowHeight="15" x14ac:dyDescent="0.2"/>
  <cols>
    <col min="3" max="3" width="18.5" customWidth="1"/>
    <col min="4" max="4" width="17.83203125" customWidth="1"/>
    <col min="5" max="5" width="24.5" customWidth="1"/>
    <col min="6" max="6" width="18.33203125" customWidth="1"/>
    <col min="10" max="10" width="20.5" customWidth="1"/>
  </cols>
  <sheetData>
    <row r="1" spans="1:10" x14ac:dyDescent="0.2">
      <c r="B1" t="s">
        <v>4</v>
      </c>
      <c r="C1" t="s">
        <v>0</v>
      </c>
      <c r="D1" t="s">
        <v>1</v>
      </c>
      <c r="E1" t="s">
        <v>2</v>
      </c>
      <c r="F1" t="s">
        <v>3</v>
      </c>
      <c r="J1" t="s">
        <v>5</v>
      </c>
    </row>
    <row r="2" spans="1:10" x14ac:dyDescent="0.2">
      <c r="E2">
        <v>1</v>
      </c>
      <c r="F2">
        <v>1</v>
      </c>
    </row>
    <row r="3" spans="1:10" x14ac:dyDescent="0.2">
      <c r="A3">
        <v>64.459999999999994</v>
      </c>
      <c r="B3">
        <f>A3+273</f>
        <v>337.46</v>
      </c>
      <c r="C3">
        <f>EXP(15.9888-(2676.98/(B3-51.15)))</f>
        <v>764.22680880824112</v>
      </c>
      <c r="D3">
        <f>EXP(16.1668-(2839.09/(B3-50.15)))</f>
        <v>536.55758016185553</v>
      </c>
      <c r="E3">
        <f>($J$4-D3)/(C3-D3)</f>
        <v>0.98143443084789395</v>
      </c>
      <c r="F3">
        <f>E3*C3/$J$4</f>
        <v>0.9868927672913399</v>
      </c>
    </row>
    <row r="4" spans="1:10" x14ac:dyDescent="0.2">
      <c r="A4" s="1">
        <v>65</v>
      </c>
      <c r="B4">
        <f>A4+273</f>
        <v>338</v>
      </c>
      <c r="C4">
        <f>EXP(15.9888-(2676.98/(B4-51.15)))</f>
        <v>777.79736001040465</v>
      </c>
      <c r="D4">
        <f>EXP(16.1668-(2839.09/(B4-50.15)))</f>
        <v>546.59689116748007</v>
      </c>
      <c r="E4">
        <f>($J$4-D4)/(C4-D4)</f>
        <v>0.92302195536421683</v>
      </c>
      <c r="F4">
        <f>E4*C4/$J$4</f>
        <v>0.94463689488674929</v>
      </c>
      <c r="J4">
        <v>760</v>
      </c>
    </row>
    <row r="5" spans="1:10" x14ac:dyDescent="0.2">
      <c r="A5">
        <v>66</v>
      </c>
      <c r="B5">
        <f t="shared" ref="B5:B16" si="0">A5+273</f>
        <v>339</v>
      </c>
      <c r="C5">
        <f t="shared" ref="C5:C16" si="1">EXP(15.9888-(2676.98/(B5-51.15)))</f>
        <v>803.42741959816783</v>
      </c>
      <c r="D5">
        <f t="shared" ref="D5:D16" si="2">EXP(16.1668-(2839.09/(B5-50.15)))</f>
        <v>565.5833307651186</v>
      </c>
      <c r="E5">
        <f>($J$4-D5)/(C5-D5)</f>
        <v>0.81741223920578077</v>
      </c>
      <c r="F5">
        <f>E5*C5/$J$4</f>
        <v>0.86412027117507995</v>
      </c>
    </row>
    <row r="6" spans="1:10" x14ac:dyDescent="0.2">
      <c r="A6">
        <v>67</v>
      </c>
      <c r="B6">
        <f t="shared" si="0"/>
        <v>340</v>
      </c>
      <c r="C6">
        <f t="shared" si="1"/>
        <v>829.71576635637427</v>
      </c>
      <c r="D6">
        <f t="shared" si="2"/>
        <v>585.09140737069777</v>
      </c>
      <c r="E6">
        <f>($J$4-D6)/(C6-D6)</f>
        <v>0.71500889508531595</v>
      </c>
      <c r="F6">
        <f>E6*C6/$J$4</f>
        <v>0.78059757018070708</v>
      </c>
    </row>
    <row r="7" spans="1:10" x14ac:dyDescent="0.2">
      <c r="A7">
        <v>68</v>
      </c>
      <c r="B7">
        <f t="shared" si="0"/>
        <v>341</v>
      </c>
      <c r="C7">
        <f t="shared" si="1"/>
        <v>856.67393575652329</v>
      </c>
      <c r="D7">
        <f t="shared" si="2"/>
        <v>605.13123377378554</v>
      </c>
      <c r="E7">
        <f>($J$4-D7)/(C7-D7)</f>
        <v>0.61567584750219628</v>
      </c>
      <c r="F7">
        <f>E7*C7/$J$4</f>
        <v>0.69399138346044675</v>
      </c>
    </row>
    <row r="8" spans="1:10" x14ac:dyDescent="0.2">
      <c r="A8">
        <v>69</v>
      </c>
      <c r="B8">
        <f t="shared" si="0"/>
        <v>342</v>
      </c>
      <c r="C8">
        <f t="shared" si="1"/>
        <v>884.31354607008825</v>
      </c>
      <c r="D8">
        <f t="shared" si="2"/>
        <v>625.7130178173561</v>
      </c>
      <c r="E8">
        <f>($J$4-D8)/(C8-D8)</f>
        <v>0.5192834797746595</v>
      </c>
      <c r="F8">
        <f>E8*C8/$J$4</f>
        <v>0.60422291501992642</v>
      </c>
    </row>
    <row r="9" spans="1:10" x14ac:dyDescent="0.2">
      <c r="A9">
        <v>70</v>
      </c>
      <c r="B9">
        <f t="shared" si="0"/>
        <v>343</v>
      </c>
      <c r="C9">
        <f t="shared" si="1"/>
        <v>912.64629705876769</v>
      </c>
      <c r="D9">
        <f t="shared" si="2"/>
        <v>646.8470615243441</v>
      </c>
      <c r="E9">
        <f>($J$4-D9)/(C9-D9)</f>
        <v>0.42570829162900847</v>
      </c>
      <c r="F9">
        <f>E9*C9/$J$4</f>
        <v>0.51121196839793237</v>
      </c>
    </row>
    <row r="10" spans="1:10" x14ac:dyDescent="0.2">
      <c r="A10">
        <v>71</v>
      </c>
      <c r="B10">
        <f t="shared" si="0"/>
        <v>344</v>
      </c>
      <c r="C10">
        <f t="shared" si="1"/>
        <v>941.68396864879344</v>
      </c>
      <c r="D10">
        <f t="shared" si="2"/>
        <v>668.54376020265988</v>
      </c>
      <c r="E10">
        <f>($J$4-D10)/(C10-D10)</f>
        <v>0.33483257671078609</v>
      </c>
      <c r="F10">
        <f>E10*C10/$J$4</f>
        <v>0.41487693377620344</v>
      </c>
    </row>
    <row r="11" spans="1:10" x14ac:dyDescent="0.2">
      <c r="A11">
        <v>72</v>
      </c>
      <c r="B11">
        <f t="shared" si="0"/>
        <v>345</v>
      </c>
      <c r="C11">
        <f t="shared" si="1"/>
        <v>971.43841958995108</v>
      </c>
      <c r="D11">
        <f t="shared" si="2"/>
        <v>690.8136015291476</v>
      </c>
      <c r="E11">
        <f>($J$4-D11)/(C11-D11)</f>
        <v>0.24654411875952345</v>
      </c>
      <c r="F11">
        <f>E11*C11/$J$4</f>
        <v>0.31513477511440613</v>
      </c>
    </row>
    <row r="12" spans="1:10" x14ac:dyDescent="0.2">
      <c r="A12">
        <v>73</v>
      </c>
      <c r="B12">
        <f t="shared" si="0"/>
        <v>346</v>
      </c>
      <c r="C12">
        <f t="shared" si="1"/>
        <v>1001.9215860999064</v>
      </c>
      <c r="D12">
        <f t="shared" si="2"/>
        <v>713.66716461295675</v>
      </c>
      <c r="E12">
        <f>($J$4-D12)/(C12-D12)</f>
        <v>0.16073590527436507</v>
      </c>
      <c r="F12">
        <f>E12*C12/$J$4</f>
        <v>0.21190101731012653</v>
      </c>
    </row>
    <row r="13" spans="1:10" x14ac:dyDescent="0.2">
      <c r="A13">
        <v>73.5</v>
      </c>
      <c r="B13">
        <f t="shared" si="0"/>
        <v>346.5</v>
      </c>
      <c r="C13">
        <f t="shared" si="1"/>
        <v>1017.4401886070219</v>
      </c>
      <c r="D13">
        <f t="shared" si="2"/>
        <v>725.31617255145522</v>
      </c>
      <c r="E13">
        <f>($J$4-D13)/(C13-D13)</f>
        <v>0.11872980495361721</v>
      </c>
      <c r="F13">
        <f>E13*C13/$J$4</f>
        <v>0.15894799361221476</v>
      </c>
    </row>
    <row r="14" spans="1:10" x14ac:dyDescent="0.2">
      <c r="A14">
        <v>74</v>
      </c>
      <c r="B14">
        <f t="shared" si="0"/>
        <v>347</v>
      </c>
      <c r="C14">
        <f t="shared" si="1"/>
        <v>1033.1454804944622</v>
      </c>
      <c r="D14">
        <f t="shared" si="2"/>
        <v>737.11511903884593</v>
      </c>
      <c r="E14">
        <f>($J$4-D14)/(C14-D14)</f>
        <v>7.7305857576994486E-2</v>
      </c>
      <c r="F14">
        <f>E14*C14/$J$4</f>
        <v>0.10508973338344792</v>
      </c>
    </row>
    <row r="15" spans="1:10" x14ac:dyDescent="0.2">
      <c r="A15">
        <v>74.5</v>
      </c>
      <c r="B15">
        <f t="shared" si="0"/>
        <v>347.5</v>
      </c>
      <c r="C15">
        <f t="shared" si="1"/>
        <v>1049.0389749651051</v>
      </c>
      <c r="D15">
        <f t="shared" si="2"/>
        <v>749.06535174986004</v>
      </c>
      <c r="E15">
        <f>($J$4-D15)/(C15-D15)</f>
        <v>3.645203245851332E-2</v>
      </c>
      <c r="F15">
        <f>E15*C15/$J$4</f>
        <v>5.0315266796938887E-2</v>
      </c>
    </row>
    <row r="16" spans="1:10" x14ac:dyDescent="0.2">
      <c r="A16">
        <v>74.8</v>
      </c>
      <c r="B16">
        <f t="shared" si="0"/>
        <v>347.8</v>
      </c>
      <c r="C16">
        <f t="shared" si="1"/>
        <v>1058.6660400968369</v>
      </c>
      <c r="D16">
        <f t="shared" si="2"/>
        <v>756.30867146848425</v>
      </c>
      <c r="E16">
        <f>($J$4-D16)/(C16-D16)</f>
        <v>1.2208495358527232E-2</v>
      </c>
      <c r="F16">
        <f>E16*C16/$J$4</f>
        <v>1.700620978520084E-2</v>
      </c>
    </row>
    <row r="17" spans="1:5" x14ac:dyDescent="0.2">
      <c r="E17">
        <v>0</v>
      </c>
    </row>
    <row r="20" spans="1:5" s="1" customFormat="1" x14ac:dyDescent="0.2">
      <c r="A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condiciones fondo 760mmHg</vt:lpstr>
      <vt:lpstr>T FONDOS</vt:lpstr>
      <vt:lpstr>Hoja1 (2)</vt:lpstr>
      <vt:lpstr>nueva iteracion</vt:lpstr>
      <vt:lpstr>nueva iteracion espaciado</vt:lpstr>
      <vt:lpstr>iteracion espaciado 0,6</vt:lpstr>
      <vt:lpstr>Curva Equilibrio_Bloque2_Mc_Cab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Microsoft Office User</cp:lastModifiedBy>
  <dcterms:created xsi:type="dcterms:W3CDTF">2017-03-23T10:09:19Z</dcterms:created>
  <dcterms:modified xsi:type="dcterms:W3CDTF">2017-06-11T12:04:30Z</dcterms:modified>
</cp:coreProperties>
</file>